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695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PPP'!$A$1:$L$38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MDE'!$A$1:$H$169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81029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H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I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F24" i="2"/>
  <c r="I24" i="2"/>
  <c r="K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F34" i="2"/>
  <c r="H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I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D49" i="2"/>
  <c r="H49" i="2"/>
  <c r="F49" i="2"/>
  <c r="I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F54" i="2"/>
  <c r="H55" i="2"/>
  <c r="I55" i="2"/>
  <c r="K55" i="2"/>
  <c r="L55" i="2"/>
  <c r="H56" i="2"/>
  <c r="K56" i="2"/>
  <c r="L56" i="2"/>
  <c r="H57" i="2"/>
  <c r="K57" i="2"/>
  <c r="L57" i="2"/>
  <c r="B58" i="2"/>
  <c r="D58" i="2"/>
  <c r="F58" i="2"/>
  <c r="H58" i="2"/>
  <c r="I58" i="2"/>
  <c r="K58" i="2"/>
  <c r="H59" i="2"/>
  <c r="K59" i="2"/>
  <c r="L59" i="2"/>
  <c r="L60" i="2"/>
  <c r="H61" i="2"/>
  <c r="K61" i="2"/>
  <c r="L61" i="2"/>
  <c r="H62" i="2"/>
  <c r="K62" i="2"/>
  <c r="L62" i="2"/>
  <c r="B63" i="2"/>
  <c r="D63" i="2"/>
  <c r="L63" i="2"/>
  <c r="F63" i="2"/>
  <c r="H63" i="2"/>
  <c r="I63" i="2"/>
  <c r="K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D72" i="2"/>
  <c r="L72" i="2"/>
  <c r="F72" i="2"/>
  <c r="H72" i="2"/>
  <c r="I72" i="2"/>
  <c r="I54" i="2"/>
  <c r="K54" i="2"/>
  <c r="K72" i="2"/>
  <c r="H73" i="2"/>
  <c r="K73" i="2"/>
  <c r="L73" i="2"/>
  <c r="H74" i="2"/>
  <c r="K74" i="2"/>
  <c r="L74" i="2"/>
  <c r="H75" i="2"/>
  <c r="K75" i="2"/>
  <c r="L75" i="2"/>
  <c r="H76" i="2"/>
  <c r="K76" i="2"/>
  <c r="L76" i="2"/>
  <c r="B80" i="2"/>
  <c r="D80" i="2"/>
  <c r="F80" i="2"/>
  <c r="H80" i="2"/>
  <c r="I80" i="2"/>
  <c r="K80" i="2"/>
  <c r="H81" i="2"/>
  <c r="K81" i="2"/>
  <c r="L81" i="2"/>
  <c r="H82" i="2"/>
  <c r="K82" i="2"/>
  <c r="L82" i="2"/>
  <c r="B83" i="2"/>
  <c r="B79" i="2"/>
  <c r="D83" i="2"/>
  <c r="F83" i="2"/>
  <c r="F79" i="2"/>
  <c r="H83" i="2"/>
  <c r="I83" i="2"/>
  <c r="I79" i="2"/>
  <c r="K83" i="2"/>
  <c r="L83" i="2"/>
  <c r="H84" i="2"/>
  <c r="K84" i="2"/>
  <c r="L84" i="2"/>
  <c r="H85" i="2"/>
  <c r="K85" i="2"/>
  <c r="L85" i="2"/>
  <c r="B99" i="2"/>
  <c r="B98" i="2"/>
  <c r="B109" i="2"/>
  <c r="B117" i="2"/>
  <c r="B119" i="2"/>
  <c r="C99" i="2"/>
  <c r="D99" i="2"/>
  <c r="E99" i="2"/>
  <c r="G99" i="2"/>
  <c r="H99" i="2"/>
  <c r="J99" i="2"/>
  <c r="J98" i="2"/>
  <c r="K99" i="2"/>
  <c r="K98" i="2"/>
  <c r="F100" i="2"/>
  <c r="I100" i="2"/>
  <c r="F101" i="2"/>
  <c r="I101" i="2"/>
  <c r="F102" i="2"/>
  <c r="I102" i="2"/>
  <c r="B103" i="2"/>
  <c r="C103" i="2"/>
  <c r="C98" i="2"/>
  <c r="C109" i="2"/>
  <c r="C117" i="2"/>
  <c r="C119" i="2"/>
  <c r="D103" i="2"/>
  <c r="E103" i="2"/>
  <c r="E98" i="2"/>
  <c r="E109" i="2"/>
  <c r="E117" i="2"/>
  <c r="G103" i="2"/>
  <c r="H103" i="2"/>
  <c r="J103" i="2"/>
  <c r="K103" i="2"/>
  <c r="F104" i="2"/>
  <c r="F103" i="2"/>
  <c r="I104" i="2"/>
  <c r="F105" i="2"/>
  <c r="I105" i="2"/>
  <c r="F106" i="2"/>
  <c r="I106" i="2"/>
  <c r="F107" i="2"/>
  <c r="I107" i="2"/>
  <c r="B111" i="2"/>
  <c r="B110" i="2"/>
  <c r="C111" i="2"/>
  <c r="C110" i="2"/>
  <c r="D111" i="2"/>
  <c r="D110" i="2"/>
  <c r="E111" i="2"/>
  <c r="E110" i="2"/>
  <c r="F111" i="2"/>
  <c r="F110" i="2"/>
  <c r="G111" i="2"/>
  <c r="G110" i="2"/>
  <c r="H111" i="2"/>
  <c r="H110" i="2"/>
  <c r="J111" i="2"/>
  <c r="K111" i="2"/>
  <c r="K110" i="2"/>
  <c r="F112" i="2"/>
  <c r="I112" i="2"/>
  <c r="I111" i="2"/>
  <c r="I110" i="2"/>
  <c r="F113" i="2"/>
  <c r="I113" i="2"/>
  <c r="B114" i="2"/>
  <c r="C114" i="2"/>
  <c r="D114" i="2"/>
  <c r="E114" i="2"/>
  <c r="F114" i="2"/>
  <c r="G114" i="2"/>
  <c r="H114" i="2"/>
  <c r="I114" i="2"/>
  <c r="J114" i="2"/>
  <c r="K114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L129" i="2"/>
  <c r="H130" i="2"/>
  <c r="K130" i="2"/>
  <c r="L130" i="2"/>
  <c r="H131" i="2"/>
  <c r="K131" i="2"/>
  <c r="L131" i="2"/>
  <c r="H132" i="2"/>
  <c r="K132" i="2"/>
  <c r="L132" i="2"/>
  <c r="B133" i="2"/>
  <c r="D133" i="2"/>
  <c r="F133" i="2"/>
  <c r="H133" i="2"/>
  <c r="I133" i="2"/>
  <c r="K133" i="2"/>
  <c r="L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F138" i="2"/>
  <c r="H138" i="2"/>
  <c r="I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F149" i="2"/>
  <c r="H149" i="2"/>
  <c r="I149" i="2"/>
  <c r="K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F155" i="2"/>
  <c r="H155" i="2"/>
  <c r="I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D164" i="2"/>
  <c r="L164" i="2"/>
  <c r="F164" i="2"/>
  <c r="H164" i="2"/>
  <c r="I164" i="2"/>
  <c r="K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B170" i="2"/>
  <c r="D170" i="2"/>
  <c r="F170" i="2"/>
  <c r="H170" i="2"/>
  <c r="I170" i="2"/>
  <c r="K170" i="2"/>
  <c r="H171" i="2"/>
  <c r="K171" i="2"/>
  <c r="L171" i="2"/>
  <c r="H172" i="2"/>
  <c r="K172" i="2"/>
  <c r="L172" i="2"/>
  <c r="B173" i="2"/>
  <c r="B169" i="2"/>
  <c r="D173" i="2"/>
  <c r="F173" i="2"/>
  <c r="H173" i="2"/>
  <c r="I173" i="2"/>
  <c r="I169" i="2"/>
  <c r="K173" i="2"/>
  <c r="L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F178" i="2"/>
  <c r="H178" i="2"/>
  <c r="I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L187" i="2"/>
  <c r="F187" i="2"/>
  <c r="H187" i="2"/>
  <c r="I187" i="2"/>
  <c r="K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D195" i="2"/>
  <c r="D108" i="2"/>
  <c r="H195" i="2"/>
  <c r="H108" i="2"/>
  <c r="B196" i="2"/>
  <c r="B195" i="2"/>
  <c r="B108" i="2"/>
  <c r="C196" i="2"/>
  <c r="D196" i="2"/>
  <c r="E196" i="2"/>
  <c r="G196" i="2"/>
  <c r="G195" i="2"/>
  <c r="G108" i="2"/>
  <c r="H196" i="2"/>
  <c r="I196" i="2"/>
  <c r="J196" i="2"/>
  <c r="J195" i="2"/>
  <c r="J108" i="2"/>
  <c r="J109" i="2"/>
  <c r="J117" i="2"/>
  <c r="J119" i="2"/>
  <c r="K196" i="2"/>
  <c r="K195" i="2"/>
  <c r="K108" i="2"/>
  <c r="K109" i="2"/>
  <c r="K117" i="2"/>
  <c r="F197" i="2"/>
  <c r="I197" i="2"/>
  <c r="F198" i="2"/>
  <c r="I198" i="2"/>
  <c r="F199" i="2"/>
  <c r="I199" i="2"/>
  <c r="B200" i="2"/>
  <c r="C200" i="2"/>
  <c r="D200" i="2"/>
  <c r="E200" i="2"/>
  <c r="G200" i="2"/>
  <c r="H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C20" i="13"/>
  <c r="E20" i="13"/>
  <c r="G20" i="13"/>
  <c r="C31" i="13"/>
  <c r="H31" i="13"/>
  <c r="B21" i="13"/>
  <c r="C21" i="13"/>
  <c r="D21" i="13"/>
  <c r="E21" i="13"/>
  <c r="F21" i="13"/>
  <c r="G21" i="13"/>
  <c r="H21" i="13"/>
  <c r="H22" i="13"/>
  <c r="H23" i="13"/>
  <c r="H24" i="13"/>
  <c r="B25" i="13"/>
  <c r="C25" i="13"/>
  <c r="D25" i="13"/>
  <c r="E25" i="13"/>
  <c r="F25" i="13"/>
  <c r="G25" i="13"/>
  <c r="H25" i="13"/>
  <c r="H26" i="13"/>
  <c r="H27" i="13"/>
  <c r="B29" i="13"/>
  <c r="A3" i="14"/>
  <c r="A7" i="14"/>
  <c r="IT9" i="14"/>
  <c r="IT11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B22" i="14"/>
  <c r="F23" i="14"/>
  <c r="F24" i="14"/>
  <c r="F25" i="14"/>
  <c r="F26" i="14"/>
  <c r="F27" i="14"/>
  <c r="B28" i="14"/>
  <c r="C28" i="14"/>
  <c r="C22" i="14"/>
  <c r="D28" i="14"/>
  <c r="F28" i="14"/>
  <c r="F29" i="14"/>
  <c r="F30" i="14"/>
  <c r="B36" i="14"/>
  <c r="C36" i="14"/>
  <c r="C44" i="14"/>
  <c r="F44" i="14"/>
  <c r="D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D53" i="14"/>
  <c r="E53" i="14"/>
  <c r="F53" i="14"/>
  <c r="G53" i="14"/>
  <c r="H53" i="14"/>
  <c r="E54" i="14"/>
  <c r="G54" i="14"/>
  <c r="E55" i="14"/>
  <c r="G55" i="14"/>
  <c r="E56" i="14"/>
  <c r="G56" i="14"/>
  <c r="B57" i="14"/>
  <c r="D57" i="14"/>
  <c r="F57" i="14"/>
  <c r="G62" i="14"/>
  <c r="H57" i="14"/>
  <c r="H74" i="14"/>
  <c r="G63" i="14"/>
  <c r="B64" i="14"/>
  <c r="C64" i="14"/>
  <c r="C72" i="14"/>
  <c r="D64" i="14"/>
  <c r="F64" i="14"/>
  <c r="G64" i="14"/>
  <c r="H64" i="14"/>
  <c r="E66" i="14"/>
  <c r="E68" i="14"/>
  <c r="E70" i="14"/>
  <c r="B72" i="14"/>
  <c r="D72" i="14"/>
  <c r="F72" i="14"/>
  <c r="H72" i="14"/>
  <c r="C74" i="14"/>
  <c r="F74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5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E27" i="15"/>
  <c r="E35" i="15"/>
  <c r="F27" i="15"/>
  <c r="G27" i="15"/>
  <c r="G35" i="15"/>
  <c r="G37" i="15"/>
  <c r="H27" i="15"/>
  <c r="D35" i="15"/>
  <c r="F35" i="15"/>
  <c r="H35" i="15"/>
  <c r="E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32" i="16"/>
  <c r="C32" i="16"/>
  <c r="D32" i="16"/>
  <c r="E32" i="16"/>
  <c r="F32" i="16"/>
  <c r="G32" i="16"/>
  <c r="H32" i="16"/>
  <c r="I32" i="16"/>
  <c r="J32" i="16"/>
  <c r="K32" i="16"/>
  <c r="L32" i="16"/>
  <c r="B35" i="16"/>
  <c r="C35" i="16"/>
  <c r="D35" i="16"/>
  <c r="E35" i="16"/>
  <c r="F35" i="16"/>
  <c r="G35" i="16"/>
  <c r="H35" i="16"/>
  <c r="I35" i="16"/>
  <c r="J35" i="16"/>
  <c r="K35" i="16"/>
  <c r="L35" i="16"/>
  <c r="B36" i="16"/>
  <c r="D36" i="16"/>
  <c r="E36" i="16"/>
  <c r="F36" i="16"/>
  <c r="G36" i="16"/>
  <c r="H36" i="16"/>
  <c r="I36" i="16"/>
  <c r="J36" i="16"/>
  <c r="K36" i="16"/>
  <c r="L36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G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G44" i="3"/>
  <c r="D44" i="3"/>
  <c r="E44" i="3"/>
  <c r="H44" i="3"/>
  <c r="I44" i="3"/>
  <c r="J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K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H89" i="3"/>
  <c r="I89" i="3"/>
  <c r="J89" i="3"/>
  <c r="K89" i="3"/>
  <c r="L89" i="3"/>
  <c r="G90" i="3"/>
  <c r="J90" i="3"/>
  <c r="K90" i="3"/>
  <c r="G91" i="3"/>
  <c r="J91" i="3"/>
  <c r="K91" i="3"/>
  <c r="G92" i="3"/>
  <c r="J92" i="3"/>
  <c r="K92" i="3"/>
  <c r="B93" i="3"/>
  <c r="C93" i="3"/>
  <c r="G93" i="3"/>
  <c r="D93" i="3"/>
  <c r="E93" i="3"/>
  <c r="H93" i="3"/>
  <c r="I93" i="3"/>
  <c r="J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G111" i="3"/>
  <c r="D111" i="3"/>
  <c r="E111" i="3"/>
  <c r="H111" i="3"/>
  <c r="I111" i="3"/>
  <c r="J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G147" i="3"/>
  <c r="D147" i="3"/>
  <c r="E147" i="3"/>
  <c r="H147" i="3"/>
  <c r="I147" i="3"/>
  <c r="J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D164" i="3"/>
  <c r="E164" i="3"/>
  <c r="G164" i="3"/>
  <c r="H164" i="3"/>
  <c r="I164" i="3"/>
  <c r="J164" i="3"/>
  <c r="K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G169" i="3"/>
  <c r="H169" i="3"/>
  <c r="I169" i="3"/>
  <c r="J169" i="3"/>
  <c r="K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K14" i="4"/>
  <c r="L14" i="4"/>
  <c r="L13" i="4"/>
  <c r="L41" i="4"/>
  <c r="M14" i="4"/>
  <c r="O14" i="4"/>
  <c r="N15" i="4"/>
  <c r="N16" i="4"/>
  <c r="N17" i="4"/>
  <c r="N18" i="4"/>
  <c r="N19" i="4"/>
  <c r="N20" i="4"/>
  <c r="B21" i="4"/>
  <c r="C21" i="4"/>
  <c r="N21" i="4"/>
  <c r="D21" i="4"/>
  <c r="D13" i="4"/>
  <c r="D41" i="4"/>
  <c r="E21" i="4"/>
  <c r="F21" i="4"/>
  <c r="F13" i="4"/>
  <c r="F41" i="4"/>
  <c r="G21" i="4"/>
  <c r="H21" i="4"/>
  <c r="H13" i="4"/>
  <c r="H41" i="4"/>
  <c r="I21" i="4"/>
  <c r="J21" i="4"/>
  <c r="J13" i="4"/>
  <c r="J41" i="4"/>
  <c r="K21" i="4"/>
  <c r="L21" i="4"/>
  <c r="M21" i="4"/>
  <c r="O21" i="4"/>
  <c r="N22" i="4"/>
  <c r="N23" i="4"/>
  <c r="N24" i="4"/>
  <c r="N25" i="4"/>
  <c r="N26" i="4"/>
  <c r="B27" i="4"/>
  <c r="C27" i="4"/>
  <c r="D27" i="4"/>
  <c r="E27" i="4"/>
  <c r="F27" i="4"/>
  <c r="G27" i="4"/>
  <c r="H27" i="4"/>
  <c r="I27" i="4"/>
  <c r="J27" i="4"/>
  <c r="K27" i="4"/>
  <c r="L27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FB12" i="5"/>
  <c r="H14" i="5"/>
  <c r="H13" i="5"/>
  <c r="H47" i="5"/>
  <c r="B15" i="5"/>
  <c r="B14" i="5"/>
  <c r="B13" i="5"/>
  <c r="B47" i="5"/>
  <c r="F15" i="5"/>
  <c r="F14" i="5"/>
  <c r="H15" i="5"/>
  <c r="J15" i="5"/>
  <c r="J14" i="5"/>
  <c r="B19" i="5"/>
  <c r="F19" i="5"/>
  <c r="H19" i="5"/>
  <c r="J19" i="5"/>
  <c r="H23" i="5"/>
  <c r="B24" i="5"/>
  <c r="B23" i="5"/>
  <c r="F24" i="5"/>
  <c r="F23" i="5"/>
  <c r="H24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H51" i="5"/>
  <c r="B52" i="5"/>
  <c r="D52" i="5"/>
  <c r="F52" i="5"/>
  <c r="G52" i="5"/>
  <c r="H52" i="5"/>
  <c r="I52" i="5"/>
  <c r="J52" i="5"/>
  <c r="K52" i="5"/>
  <c r="B56" i="5"/>
  <c r="B55" i="5"/>
  <c r="B67" i="5"/>
  <c r="D56" i="5"/>
  <c r="D55" i="5"/>
  <c r="D67" i="5"/>
  <c r="F56" i="5"/>
  <c r="F55" i="5"/>
  <c r="F67" i="5"/>
  <c r="G56" i="5"/>
  <c r="G55" i="5"/>
  <c r="G67" i="5"/>
  <c r="H56" i="5"/>
  <c r="H55" i="5"/>
  <c r="H67" i="5"/>
  <c r="I56" i="5"/>
  <c r="I55" i="5"/>
  <c r="I67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H96" i="5"/>
  <c r="H95" i="5"/>
  <c r="H127" i="5"/>
  <c r="B97" i="5"/>
  <c r="B96" i="5"/>
  <c r="F97" i="5"/>
  <c r="F96" i="5"/>
  <c r="H97" i="5"/>
  <c r="J97" i="5"/>
  <c r="J96" i="5"/>
  <c r="B101" i="5"/>
  <c r="F101" i="5"/>
  <c r="H101" i="5"/>
  <c r="J101" i="5"/>
  <c r="H105" i="5"/>
  <c r="B106" i="5"/>
  <c r="B105" i="5"/>
  <c r="F106" i="5"/>
  <c r="F105" i="5"/>
  <c r="H106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B136" i="5"/>
  <c r="B135" i="5"/>
  <c r="B147" i="5"/>
  <c r="D136" i="5"/>
  <c r="D135" i="5"/>
  <c r="D147" i="5"/>
  <c r="F136" i="5"/>
  <c r="F135" i="5"/>
  <c r="G136" i="5"/>
  <c r="G135" i="5"/>
  <c r="G147" i="5"/>
  <c r="H136" i="5"/>
  <c r="H135" i="5"/>
  <c r="H147" i="5"/>
  <c r="I136" i="5"/>
  <c r="I135" i="5"/>
  <c r="I147" i="5"/>
  <c r="J136" i="5"/>
  <c r="J135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A3" i="6"/>
  <c r="A7" i="6"/>
  <c r="B14" i="6"/>
  <c r="F14" i="6"/>
  <c r="F19" i="6"/>
  <c r="F22" i="6"/>
  <c r="B15" i="6"/>
  <c r="D15" i="6"/>
  <c r="F15" i="6"/>
  <c r="B19" i="6"/>
  <c r="B22" i="6"/>
  <c r="B23" i="6"/>
  <c r="F23" i="6"/>
  <c r="A3" i="7"/>
  <c r="A7" i="7"/>
  <c r="B16" i="7"/>
  <c r="C16" i="7"/>
  <c r="B23" i="7"/>
  <c r="C23" i="7"/>
  <c r="B26" i="7"/>
  <c r="C26" i="7"/>
  <c r="B35" i="7"/>
  <c r="C35" i="7"/>
  <c r="B42" i="7"/>
  <c r="C42" i="7"/>
  <c r="C39" i="7"/>
  <c r="C52" i="7"/>
  <c r="B46" i="7"/>
  <c r="B39" i="7"/>
  <c r="B52" i="7"/>
  <c r="C46" i="7"/>
  <c r="B49" i="7"/>
  <c r="C49" i="7"/>
  <c r="B60" i="7"/>
  <c r="B64" i="7"/>
  <c r="C60" i="7"/>
  <c r="C64" i="7"/>
  <c r="D60" i="7"/>
  <c r="D64" i="7"/>
  <c r="D75" i="7"/>
  <c r="E60" i="7"/>
  <c r="F60" i="7"/>
  <c r="F64" i="7"/>
  <c r="G60" i="7"/>
  <c r="H60" i="7"/>
  <c r="H64" i="7"/>
  <c r="E64" i="7"/>
  <c r="E75" i="7"/>
  <c r="G64" i="7"/>
  <c r="B65" i="7"/>
  <c r="B73" i="7"/>
  <c r="D65" i="7"/>
  <c r="F65" i="7"/>
  <c r="F73" i="7"/>
  <c r="H65" i="7"/>
  <c r="B67" i="7"/>
  <c r="C67" i="7"/>
  <c r="C65" i="7"/>
  <c r="C73" i="7"/>
  <c r="D67" i="7"/>
  <c r="E67" i="7"/>
  <c r="E65" i="7"/>
  <c r="E73" i="7"/>
  <c r="F67" i="7"/>
  <c r="G67" i="7"/>
  <c r="G65" i="7"/>
  <c r="G73" i="7"/>
  <c r="H67" i="7"/>
  <c r="D73" i="7"/>
  <c r="H73" i="7"/>
  <c r="G75" i="7"/>
  <c r="A3" i="8"/>
  <c r="A7" i="8"/>
  <c r="B16" i="8"/>
  <c r="B21" i="8"/>
  <c r="C16" i="8"/>
  <c r="C21" i="8"/>
  <c r="D16" i="8"/>
  <c r="D21" i="8"/>
  <c r="E16" i="8"/>
  <c r="F16" i="8"/>
  <c r="F21" i="8"/>
  <c r="G16" i="8"/>
  <c r="H16" i="8"/>
  <c r="H21" i="8"/>
  <c r="I16" i="8"/>
  <c r="J16" i="8"/>
  <c r="J21" i="8"/>
  <c r="K16" i="8"/>
  <c r="L16" i="8"/>
  <c r="L21" i="8"/>
  <c r="M17" i="8"/>
  <c r="M16" i="8"/>
  <c r="M21" i="8"/>
  <c r="M18" i="8"/>
  <c r="M19" i="8"/>
  <c r="M20" i="8"/>
  <c r="E21" i="8"/>
  <c r="G21" i="8"/>
  <c r="I21" i="8"/>
  <c r="K21" i="8"/>
  <c r="A3" i="9"/>
  <c r="A7" i="9"/>
  <c r="IT9" i="9"/>
  <c r="IT11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B14" i="9"/>
  <c r="D25" i="9"/>
  <c r="D14" i="9"/>
  <c r="F25" i="9"/>
  <c r="H25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38" i="9"/>
  <c r="H43" i="9"/>
  <c r="B44" i="9"/>
  <c r="D44" i="9"/>
  <c r="F44" i="9"/>
  <c r="H44" i="9"/>
  <c r="H45" i="9"/>
  <c r="H46" i="9"/>
  <c r="H47" i="9"/>
  <c r="H48" i="9"/>
  <c r="H49" i="9"/>
  <c r="H50" i="9"/>
  <c r="B51" i="9"/>
  <c r="D51" i="9"/>
  <c r="F51" i="9"/>
  <c r="H51" i="9"/>
  <c r="H52" i="9"/>
  <c r="H53" i="9"/>
  <c r="H54" i="9"/>
  <c r="H55" i="9"/>
  <c r="B56" i="9"/>
  <c r="D56" i="9"/>
  <c r="B61" i="9"/>
  <c r="D61" i="9"/>
  <c r="D72" i="9"/>
  <c r="F61" i="9"/>
  <c r="H61" i="9"/>
  <c r="H62" i="9"/>
  <c r="H63" i="9"/>
  <c r="H64" i="9"/>
  <c r="H65" i="9"/>
  <c r="H66" i="9"/>
  <c r="H67" i="9"/>
  <c r="B68" i="9"/>
  <c r="D68" i="9"/>
  <c r="F68" i="9"/>
  <c r="G96" i="9"/>
  <c r="H69" i="9"/>
  <c r="H70" i="9"/>
  <c r="H71" i="9"/>
  <c r="B72" i="9"/>
  <c r="F72" i="9"/>
  <c r="F74" i="9"/>
  <c r="B78" i="9"/>
  <c r="C78" i="9"/>
  <c r="D78" i="9"/>
  <c r="E78" i="9"/>
  <c r="F78" i="9"/>
  <c r="G78" i="9"/>
  <c r="H78" i="9"/>
  <c r="E79" i="9"/>
  <c r="G79" i="9"/>
  <c r="E80" i="9"/>
  <c r="G80" i="9"/>
  <c r="B81" i="9"/>
  <c r="C81" i="9"/>
  <c r="C84" i="9"/>
  <c r="D81" i="9"/>
  <c r="E81" i="9"/>
  <c r="F81" i="9"/>
  <c r="G81" i="9"/>
  <c r="H81" i="9"/>
  <c r="E82" i="9"/>
  <c r="G82" i="9"/>
  <c r="E83" i="9"/>
  <c r="G83" i="9"/>
  <c r="B84" i="9"/>
  <c r="D84" i="9"/>
  <c r="H84" i="9"/>
  <c r="G86" i="9"/>
  <c r="G89" i="9"/>
  <c r="G92" i="9"/>
  <c r="B105" i="9"/>
  <c r="B119" i="9"/>
  <c r="B142" i="9"/>
  <c r="B106" i="9"/>
  <c r="C106" i="9"/>
  <c r="C105" i="9"/>
  <c r="D106" i="9"/>
  <c r="E106" i="9"/>
  <c r="F106" i="9"/>
  <c r="G106" i="9"/>
  <c r="H106" i="9"/>
  <c r="E107" i="9"/>
  <c r="G107" i="9"/>
  <c r="E108" i="9"/>
  <c r="G108" i="9"/>
  <c r="B109" i="9"/>
  <c r="C109" i="9"/>
  <c r="D109" i="9"/>
  <c r="D105" i="9"/>
  <c r="E109" i="9"/>
  <c r="F109" i="9"/>
  <c r="G109" i="9"/>
  <c r="H109" i="9"/>
  <c r="H105" i="9"/>
  <c r="H119" i="9"/>
  <c r="H142" i="9"/>
  <c r="E110" i="9"/>
  <c r="G110" i="9"/>
  <c r="E111" i="9"/>
  <c r="G111" i="9"/>
  <c r="B112" i="9"/>
  <c r="C112" i="9"/>
  <c r="D112" i="9"/>
  <c r="E112" i="9"/>
  <c r="F112" i="9"/>
  <c r="G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E137" i="9"/>
  <c r="G137" i="9"/>
  <c r="E138" i="9"/>
  <c r="G138" i="9"/>
  <c r="E139" i="9"/>
  <c r="G139" i="9"/>
  <c r="E140" i="9"/>
  <c r="G140" i="9"/>
  <c r="B141" i="9"/>
  <c r="C141" i="9"/>
  <c r="D141" i="9"/>
  <c r="E141" i="9"/>
  <c r="F141" i="9"/>
  <c r="G141" i="9"/>
  <c r="H141" i="9"/>
  <c r="C146" i="9"/>
  <c r="F146" i="9"/>
  <c r="C153" i="9"/>
  <c r="F153" i="9"/>
  <c r="C157" i="9"/>
  <c r="F157" i="9"/>
  <c r="C158" i="9"/>
  <c r="F158" i="9"/>
  <c r="C161" i="9"/>
  <c r="F161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D20" i="11"/>
  <c r="D22" i="11"/>
  <c r="F20" i="11"/>
  <c r="H20" i="11"/>
  <c r="B22" i="11"/>
  <c r="IO4" i="1"/>
  <c r="IT5" i="1"/>
  <c r="IT6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23" i="1"/>
  <c r="IV14" i="9"/>
  <c r="G132" i="9"/>
  <c r="C19" i="1"/>
  <c r="C20" i="1"/>
  <c r="C21" i="1"/>
  <c r="C22" i="1"/>
  <c r="A7" i="10"/>
  <c r="J147" i="5"/>
  <c r="F147" i="5"/>
  <c r="F149" i="5"/>
  <c r="H149" i="5"/>
  <c r="B69" i="5"/>
  <c r="E27" i="6"/>
  <c r="B95" i="5"/>
  <c r="B127" i="5"/>
  <c r="B149" i="5"/>
  <c r="F69" i="5"/>
  <c r="H69" i="5"/>
  <c r="IT11" i="1"/>
  <c r="D3" i="1"/>
  <c r="F14" i="9"/>
  <c r="H75" i="7"/>
  <c r="F75" i="7"/>
  <c r="D14" i="6"/>
  <c r="D19" i="6"/>
  <c r="D22" i="6"/>
  <c r="B27" i="6"/>
  <c r="D23" i="6"/>
  <c r="J95" i="5"/>
  <c r="J127" i="5"/>
  <c r="F95" i="5"/>
  <c r="F127" i="5"/>
  <c r="D149" i="5"/>
  <c r="J13" i="5"/>
  <c r="J47" i="5"/>
  <c r="F13" i="5"/>
  <c r="F47" i="5"/>
  <c r="D69" i="5"/>
  <c r="B13" i="3"/>
  <c r="B181" i="3"/>
  <c r="J20" i="11"/>
  <c r="J22" i="11"/>
  <c r="D13" i="10"/>
  <c r="F13" i="10"/>
  <c r="B27" i="10"/>
  <c r="E105" i="9"/>
  <c r="G105" i="9"/>
  <c r="C119" i="9"/>
  <c r="IO6" i="9"/>
  <c r="IT7" i="9"/>
  <c r="IT8" i="9"/>
  <c r="IT10" i="9"/>
  <c r="IT12" i="9"/>
  <c r="IV84" i="9"/>
  <c r="IV119" i="9"/>
  <c r="F102" i="9"/>
  <c r="J51" i="5"/>
  <c r="O13" i="4"/>
  <c r="O41" i="4"/>
  <c r="M13" i="4"/>
  <c r="M41" i="4"/>
  <c r="C13" i="4"/>
  <c r="K157" i="3"/>
  <c r="K147" i="3"/>
  <c r="K123" i="3"/>
  <c r="K93" i="3"/>
  <c r="K79" i="3"/>
  <c r="K44" i="3"/>
  <c r="C13" i="3"/>
  <c r="C181" i="3"/>
  <c r="L13" i="3"/>
  <c r="L181" i="3"/>
  <c r="H13" i="3"/>
  <c r="H181" i="3"/>
  <c r="M8" i="16"/>
  <c r="A8" i="16"/>
  <c r="E62" i="14"/>
  <c r="E63" i="14"/>
  <c r="E72" i="14"/>
  <c r="D74" i="14"/>
  <c r="F200" i="2"/>
  <c r="F169" i="2"/>
  <c r="L149" i="2"/>
  <c r="D128" i="2"/>
  <c r="I128" i="2"/>
  <c r="I127" i="2"/>
  <c r="I77" i="2"/>
  <c r="F128" i="2"/>
  <c r="F127" i="2"/>
  <c r="F77" i="2"/>
  <c r="B128" i="2"/>
  <c r="B127" i="2"/>
  <c r="B77" i="2"/>
  <c r="D98" i="2"/>
  <c r="D109" i="2"/>
  <c r="D117" i="2"/>
  <c r="D119" i="2"/>
  <c r="K34" i="2"/>
  <c r="L34" i="2"/>
  <c r="C25" i="16"/>
  <c r="D23" i="16"/>
  <c r="E23" i="16"/>
  <c r="F23" i="16"/>
  <c r="G23" i="16"/>
  <c r="H23" i="16"/>
  <c r="I23" i="16"/>
  <c r="J23" i="16"/>
  <c r="K23" i="16"/>
  <c r="L23" i="16"/>
  <c r="H37" i="15"/>
  <c r="F37" i="15"/>
  <c r="D37" i="15"/>
  <c r="I21" i="15"/>
  <c r="A22" i="15"/>
  <c r="I35" i="15"/>
  <c r="A36" i="15"/>
  <c r="E116" i="14"/>
  <c r="E71" i="14"/>
  <c r="E69" i="14"/>
  <c r="E67" i="14"/>
  <c r="E65" i="14"/>
  <c r="E64" i="14"/>
  <c r="G65" i="14"/>
  <c r="G66" i="14"/>
  <c r="G67" i="14"/>
  <c r="G68" i="14"/>
  <c r="G69" i="14"/>
  <c r="G70" i="14"/>
  <c r="G71" i="14"/>
  <c r="G72" i="14"/>
  <c r="B74" i="14"/>
  <c r="E57" i="14"/>
  <c r="G57" i="14"/>
  <c r="B31" i="14"/>
  <c r="IT7" i="14"/>
  <c r="IT10" i="14"/>
  <c r="IV57" i="14"/>
  <c r="A58" i="14"/>
  <c r="IV72" i="14"/>
  <c r="F20" i="13"/>
  <c r="D20" i="13"/>
  <c r="B20" i="13"/>
  <c r="H20" i="13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I200" i="2"/>
  <c r="E195" i="2"/>
  <c r="E108" i="2"/>
  <c r="C195" i="2"/>
  <c r="F196" i="2"/>
  <c r="J110" i="2"/>
  <c r="H98" i="2"/>
  <c r="H109" i="2"/>
  <c r="H117" i="2"/>
  <c r="L58" i="2"/>
  <c r="D54" i="2"/>
  <c r="G119" i="14"/>
  <c r="G118" i="14"/>
  <c r="G117" i="14"/>
  <c r="G116" i="14"/>
  <c r="G115" i="14"/>
  <c r="G114" i="14"/>
  <c r="D169" i="2"/>
  <c r="L170" i="2"/>
  <c r="D79" i="2"/>
  <c r="L80" i="2"/>
  <c r="L15" i="2"/>
  <c r="H169" i="2"/>
  <c r="K169" i="2"/>
  <c r="L169" i="2"/>
  <c r="A73" i="14"/>
  <c r="A102" i="9"/>
  <c r="IT13" i="9"/>
  <c r="E119" i="9"/>
  <c r="G119" i="9"/>
  <c r="C142" i="9"/>
  <c r="G69" i="5"/>
  <c r="I69" i="5"/>
  <c r="G149" i="5"/>
  <c r="I149" i="5"/>
  <c r="H79" i="2"/>
  <c r="K79" i="2"/>
  <c r="L79" i="2"/>
  <c r="C108" i="2"/>
  <c r="I195" i="2"/>
  <c r="I108" i="2"/>
  <c r="I109" i="2"/>
  <c r="I117" i="2"/>
  <c r="F195" i="2"/>
  <c r="F108" i="2"/>
  <c r="F109" i="2"/>
  <c r="F117" i="2"/>
  <c r="D127" i="2"/>
  <c r="L128" i="2"/>
  <c r="K128" i="2"/>
  <c r="H128" i="2"/>
  <c r="D27" i="10"/>
  <c r="F27" i="10"/>
  <c r="D77" i="2"/>
  <c r="H127" i="2"/>
  <c r="K127" i="2"/>
  <c r="L127" i="2"/>
  <c r="L77" i="2"/>
  <c r="E142" i="9"/>
  <c r="G142" i="9"/>
  <c r="H77" i="2"/>
  <c r="K77" i="2"/>
  <c r="N37" i="4"/>
  <c r="N27" i="4"/>
  <c r="N14" i="4"/>
  <c r="C41" i="4"/>
  <c r="B13" i="4"/>
  <c r="B41" i="4"/>
  <c r="K13" i="4"/>
  <c r="K41" i="4"/>
  <c r="G13" i="4"/>
  <c r="G41" i="4"/>
  <c r="I13" i="4"/>
  <c r="I41" i="4"/>
  <c r="E13" i="4"/>
  <c r="G157" i="3"/>
  <c r="G123" i="3"/>
  <c r="K111" i="3"/>
  <c r="K107" i="3"/>
  <c r="G98" i="3"/>
  <c r="D13" i="3"/>
  <c r="D181" i="3"/>
  <c r="K98" i="3"/>
  <c r="G89" i="3"/>
  <c r="E13" i="3"/>
  <c r="E181" i="3"/>
  <c r="F95" i="3"/>
  <c r="G79" i="3"/>
  <c r="F171" i="3"/>
  <c r="G65" i="3"/>
  <c r="F163" i="3"/>
  <c r="I13" i="3"/>
  <c r="I181" i="3"/>
  <c r="J15" i="3"/>
  <c r="G53" i="3"/>
  <c r="K53" i="3"/>
  <c r="F50" i="3"/>
  <c r="F96" i="3"/>
  <c r="F162" i="3"/>
  <c r="F116" i="3"/>
  <c r="F170" i="3"/>
  <c r="F180" i="3"/>
  <c r="F23" i="3"/>
  <c r="F44" i="3"/>
  <c r="F53" i="3"/>
  <c r="F63" i="3"/>
  <c r="F75" i="3"/>
  <c r="F79" i="3"/>
  <c r="F93" i="3"/>
  <c r="F102" i="3"/>
  <c r="F108" i="3"/>
  <c r="F110" i="3"/>
  <c r="F119" i="3"/>
  <c r="F121" i="3"/>
  <c r="F123" i="3"/>
  <c r="F132" i="3"/>
  <c r="F141" i="3"/>
  <c r="F143" i="3"/>
  <c r="F145" i="3"/>
  <c r="F147" i="3"/>
  <c r="F153" i="3"/>
  <c r="F155" i="3"/>
  <c r="F157" i="3"/>
  <c r="F166" i="3"/>
  <c r="F168" i="3"/>
  <c r="F14" i="3"/>
  <c r="F20" i="3"/>
  <c r="F22" i="3"/>
  <c r="F28" i="3"/>
  <c r="F30" i="3"/>
  <c r="F32" i="3"/>
  <c r="F34" i="3"/>
  <c r="F46" i="3"/>
  <c r="F48" i="3"/>
  <c r="F54" i="3"/>
  <c r="F56" i="3"/>
  <c r="F58" i="3"/>
  <c r="F66" i="3"/>
  <c r="F68" i="3"/>
  <c r="F70" i="3"/>
  <c r="F80" i="3"/>
  <c r="F82" i="3"/>
  <c r="F84" i="3"/>
  <c r="F86" i="3"/>
  <c r="G26" i="3"/>
  <c r="G13" i="3"/>
  <c r="G181" i="3"/>
  <c r="K26" i="3"/>
  <c r="K14" i="3"/>
  <c r="G98" i="2"/>
  <c r="G109" i="2"/>
  <c r="G117" i="2"/>
  <c r="I103" i="2"/>
  <c r="I98" i="2"/>
  <c r="I99" i="2"/>
  <c r="F99" i="2"/>
  <c r="F98" i="2"/>
  <c r="L54" i="2"/>
  <c r="L40" i="2"/>
  <c r="L24" i="2"/>
  <c r="F14" i="2"/>
  <c r="F13" i="2"/>
  <c r="F78" i="2"/>
  <c r="F86" i="2"/>
  <c r="F88" i="2"/>
  <c r="I14" i="2"/>
  <c r="I13" i="2"/>
  <c r="I78" i="2"/>
  <c r="I86" i="2"/>
  <c r="B54" i="2"/>
  <c r="H54" i="2"/>
  <c r="K49" i="2"/>
  <c r="K40" i="2"/>
  <c r="H40" i="2"/>
  <c r="H24" i="2"/>
  <c r="B14" i="2"/>
  <c r="B13" i="2"/>
  <c r="B78" i="2"/>
  <c r="B86" i="2"/>
  <c r="B88" i="2"/>
  <c r="D14" i="2"/>
  <c r="K19" i="2"/>
  <c r="H19" i="2"/>
  <c r="IT12" i="14"/>
  <c r="IT8" i="14"/>
  <c r="IO6" i="14"/>
  <c r="IT13" i="14"/>
  <c r="A8" i="14"/>
  <c r="F51" i="5"/>
  <c r="F131" i="5"/>
  <c r="FC12" i="5"/>
  <c r="FA12" i="5"/>
  <c r="J12" i="5"/>
  <c r="E41" i="4"/>
  <c r="N41" i="4"/>
  <c r="M34" i="16"/>
  <c r="C34" i="16"/>
  <c r="C36" i="16"/>
  <c r="N13" i="4"/>
  <c r="F100" i="3"/>
  <c r="F91" i="3"/>
  <c r="F77" i="3"/>
  <c r="F65" i="3"/>
  <c r="F61" i="3"/>
  <c r="F51" i="3"/>
  <c r="F40" i="3"/>
  <c r="F15" i="3"/>
  <c r="F174" i="3"/>
  <c r="F137" i="3"/>
  <c r="F104" i="3"/>
  <c r="F148" i="3"/>
  <c r="F33" i="3"/>
  <c r="F42" i="3"/>
  <c r="F25" i="3"/>
  <c r="F17" i="3"/>
  <c r="F72" i="3"/>
  <c r="F176" i="3"/>
  <c r="F172" i="3"/>
  <c r="F139" i="3"/>
  <c r="F135" i="3"/>
  <c r="F112" i="3"/>
  <c r="F36" i="3"/>
  <c r="F158" i="3"/>
  <c r="F127" i="3"/>
  <c r="F73" i="3"/>
  <c r="F131" i="3"/>
  <c r="F118" i="3"/>
  <c r="F114" i="3"/>
  <c r="F106" i="3"/>
  <c r="F38" i="3"/>
  <c r="F164" i="3"/>
  <c r="F160" i="3"/>
  <c r="F150" i="3"/>
  <c r="F129" i="3"/>
  <c r="F125" i="3"/>
  <c r="F88" i="3"/>
  <c r="F59" i="3"/>
  <c r="F165" i="3"/>
  <c r="F92" i="3"/>
  <c r="F83" i="3"/>
  <c r="F69" i="3"/>
  <c r="F55" i="3"/>
  <c r="F21" i="3"/>
  <c r="F146" i="3"/>
  <c r="F109" i="3"/>
  <c r="F74" i="3"/>
  <c r="F177" i="3"/>
  <c r="F39" i="3"/>
  <c r="F98" i="3"/>
  <c r="F94" i="3"/>
  <c r="F85" i="3"/>
  <c r="F81" i="3"/>
  <c r="F71" i="3"/>
  <c r="F67" i="3"/>
  <c r="F57" i="3"/>
  <c r="F47" i="3"/>
  <c r="F29" i="3"/>
  <c r="F169" i="3"/>
  <c r="F154" i="3"/>
  <c r="F142" i="3"/>
  <c r="F120" i="3"/>
  <c r="F101" i="3"/>
  <c r="F78" i="3"/>
  <c r="F62" i="3"/>
  <c r="F24" i="3"/>
  <c r="F151" i="3"/>
  <c r="F117" i="3"/>
  <c r="F35" i="3"/>
  <c r="F49" i="3"/>
  <c r="F45" i="3"/>
  <c r="F31" i="3"/>
  <c r="F27" i="3"/>
  <c r="F19" i="3"/>
  <c r="F167" i="3"/>
  <c r="F156" i="3"/>
  <c r="F152" i="3"/>
  <c r="F144" i="3"/>
  <c r="F133" i="3"/>
  <c r="F122" i="3"/>
  <c r="F111" i="3"/>
  <c r="F103" i="3"/>
  <c r="F99" i="3"/>
  <c r="F90" i="3"/>
  <c r="F76" i="3"/>
  <c r="F64" i="3"/>
  <c r="F60" i="3"/>
  <c r="F41" i="3"/>
  <c r="F16" i="3"/>
  <c r="F126" i="3"/>
  <c r="F124" i="3"/>
  <c r="F105" i="3"/>
  <c r="F140" i="3"/>
  <c r="F138" i="3"/>
  <c r="F89" i="3"/>
  <c r="F52" i="3"/>
  <c r="F43" i="3"/>
  <c r="F26" i="3"/>
  <c r="F18" i="3"/>
  <c r="F13" i="3"/>
  <c r="F181" i="3"/>
  <c r="F97" i="3"/>
  <c r="F130" i="3"/>
  <c r="F161" i="3"/>
  <c r="F149" i="3"/>
  <c r="F37" i="3"/>
  <c r="F113" i="3"/>
  <c r="F136" i="3"/>
  <c r="F173" i="3"/>
  <c r="F128" i="3"/>
  <c r="F159" i="3"/>
  <c r="F115" i="3"/>
  <c r="F175" i="3"/>
  <c r="F134" i="3"/>
  <c r="F107" i="3"/>
  <c r="J13" i="3"/>
  <c r="J181" i="3"/>
  <c r="K13" i="3"/>
  <c r="K181" i="3"/>
  <c r="H118" i="2"/>
  <c r="H119" i="2"/>
  <c r="E118" i="2"/>
  <c r="E119" i="2"/>
  <c r="I87" i="2"/>
  <c r="I88" i="2"/>
  <c r="K14" i="2"/>
  <c r="L14" i="2"/>
  <c r="H14" i="2"/>
  <c r="D13" i="2"/>
  <c r="I51" i="5"/>
  <c r="G131" i="5"/>
  <c r="I131" i="5"/>
  <c r="K131" i="5"/>
  <c r="G51" i="5"/>
  <c r="K51" i="5"/>
  <c r="J131" i="5"/>
  <c r="H131" i="5"/>
  <c r="B86" i="5"/>
  <c r="H94" i="5"/>
  <c r="K13" i="2"/>
  <c r="H13" i="2"/>
  <c r="L13" i="2"/>
  <c r="L78" i="2"/>
  <c r="D78" i="2"/>
  <c r="D86" i="2"/>
  <c r="H86" i="5"/>
  <c r="J94" i="5"/>
  <c r="L86" i="2"/>
  <c r="D88" i="2"/>
  <c r="L88" i="2"/>
  <c r="E117" i="14"/>
  <c r="E113" i="14"/>
  <c r="E118" i="14"/>
  <c r="E114" i="14"/>
  <c r="E119" i="14"/>
  <c r="D22" i="14"/>
  <c r="D31" i="14"/>
  <c r="E78" i="14"/>
  <c r="C31" i="14"/>
  <c r="F31" i="14"/>
  <c r="F22" i="14"/>
  <c r="G123" i="9"/>
  <c r="G130" i="9"/>
  <c r="F73" i="9"/>
  <c r="H68" i="9"/>
  <c r="F105" i="9"/>
  <c r="G131" i="9"/>
  <c r="F119" i="9"/>
  <c r="F142" i="9"/>
  <c r="D119" i="9"/>
  <c r="D102" i="9"/>
  <c r="D142" i="9"/>
  <c r="F84" i="9"/>
  <c r="G94" i="9"/>
  <c r="E84" i="9"/>
  <c r="G84" i="9"/>
  <c r="G95" i="9"/>
  <c r="G97" i="9"/>
  <c r="H72" i="9"/>
  <c r="F56" i="9"/>
  <c r="H56" i="9"/>
  <c r="H28" i="9"/>
  <c r="F39" i="9"/>
  <c r="D39" i="9"/>
  <c r="B39" i="9"/>
  <c r="H14" i="9"/>
  <c r="C75" i="7"/>
  <c r="B75" i="7"/>
  <c r="C15" i="7"/>
  <c r="C38" i="7"/>
  <c r="B15" i="7"/>
  <c r="B38" i="7"/>
  <c r="B53" i="7"/>
  <c r="A8" i="9"/>
  <c r="H39" i="9"/>
  <c r="IV14" i="14"/>
  <c r="IV76" i="14"/>
  <c r="E76" i="14"/>
</calcChain>
</file>

<file path=xl/sharedStrings.xml><?xml version="1.0" encoding="utf-8"?>
<sst xmlns="http://schemas.openxmlformats.org/spreadsheetml/2006/main" count="1761" uniqueCount="1150">
  <si>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</si>
  <si>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</si>
  <si>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</si>
  <si>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</si>
  <si>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2018</t>
  </si>
  <si>
    <t>INFORMAÇÕES INICIAIS - Versão 2018.1</t>
  </si>
  <si>
    <t>2º Bimestre de 2018</t>
  </si>
  <si>
    <t>DADOS DO GESTOR</t>
  </si>
  <si>
    <t>4º Bimestre de 2018</t>
  </si>
  <si>
    <t>Nome do Gestor</t>
  </si>
  <si>
    <t>5º Bimestre de 2018</t>
  </si>
  <si>
    <t>Período de Mandato</t>
  </si>
  <si>
    <t>6º Bimestre de 2018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</si>
  <si>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</si>
  <si>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</si>
  <si>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</si>
  <si>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</si>
  <si>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</si>
  <si>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</si>
  <si>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</si>
  <si>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</si>
  <si>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</si>
  <si>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</si>
  <si>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</si>
  <si>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</si>
  <si>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</si>
  <si>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V2018.1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</si>
  <si>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</si>
  <si>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</si>
  <si>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</si>
  <si>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</si>
  <si>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</si>
  <si>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</si>
  <si>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</si>
  <si>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</si>
  <si>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</si>
  <si>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</si>
  <si>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</si>
  <si>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</si>
  <si>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</si>
  <si>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</si>
  <si>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</si>
  <si>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</si>
  <si>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</si>
  <si>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</si>
  <si>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</si>
  <si>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</si>
  <si>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</si>
  <si>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</si>
  <si>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</si>
  <si>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</si>
  <si>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</si>
  <si>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</si>
  <si>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</si>
  <si>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>Contribuições Econômicas</t>
  </si>
  <si>
    <t xml:space="preserve">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</si>
  <si>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</si>
  <si>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</si>
  <si>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>Exploração do Patrimônio imobiliário do Estado</t>
  </si>
  <si>
    <t xml:space="preserve">           Valores Mobiliários</t>
  </si>
  <si>
    <t>Delegação de Serviços Públicos Mediante Concessão, Permissão, autorização ou Licença</t>
  </si>
  <si>
    <t>Exploração de Recursos Naturais</t>
  </si>
  <si>
    <t>Exploração do patrimônio intângível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</si>
  <si>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</si>
  <si>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</si>
  <si>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</si>
  <si>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</si>
  <si>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</si>
  <si>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>Serviços Administrativos e Comerciais Gerais</t>
  </si>
  <si>
    <t>Serviços e Atividades Referentes à Navegação e ao Transporte</t>
  </si>
  <si>
    <t>Serviços e Atividades Referentes à Saúde</t>
  </si>
  <si>
    <t>Serviços e Atividades Financeiras</t>
  </si>
  <si>
    <t>Outros Serviços</t>
  </si>
  <si>
    <t xml:space="preserve">        TRANSFERÊNCIAS CORRENTES</t>
  </si>
  <si>
    <t xml:space="preserve">           Transferências da União e de suas Entidades</t>
  </si>
  <si>
    <t xml:space="preserve">           Transferências dos Estados e do Distrito Federal e de suas Entidades</t>
  </si>
  <si>
    <t xml:space="preserve">           Transferências dos Municípios e de suas Entidades</t>
  </si>
  <si>
    <t xml:space="preserve">           Transferências de Instituições Privadas</t>
  </si>
  <si>
    <t xml:space="preserve">           Transferências de Outras Instituições Públicas</t>
  </si>
  <si>
    <t xml:space="preserve">           Transferências do Exterior</t>
  </si>
  <si>
    <t xml:space="preserve">          Transferências de Pessoas Físicas</t>
  </si>
  <si>
    <t xml:space="preserve">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</si>
  <si>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</si>
  <si>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</si>
  <si>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</si>
  <si>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</si>
  <si>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</si>
  <si>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</si>
  <si>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</si>
  <si>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</si>
  <si>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</si>
  <si>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</si>
  <si>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</si>
  <si>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</si>
  <si>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</si>
  <si>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</si>
  <si>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</si>
  <si>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</si>
  <si>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</si>
  <si>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</si>
  <si>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</si>
  <si>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</si>
  <si>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</si>
  <si>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</si>
  <si>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</si>
  <si>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</si>
  <si>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</si>
  <si>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</si>
  <si>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</si>
  <si>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</si>
  <si>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</si>
  <si>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</si>
  <si>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</si>
  <si>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</si>
  <si>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</si>
  <si>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</si>
  <si>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</si>
  <si>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</si>
  <si>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</si>
  <si>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</si>
  <si>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</si>
  <si>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</si>
  <si>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</si>
  <si>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</si>
  <si>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</si>
  <si>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</si>
  <si>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</si>
  <si>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</si>
  <si>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</si>
  <si>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</si>
  <si>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</si>
  <si>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</si>
  <si>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</si>
  <si>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</si>
  <si>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</si>
  <si>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</si>
  <si>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</si>
  <si>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</si>
  <si>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</si>
  <si>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</si>
  <si>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</si>
  <si>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</si>
  <si>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</si>
  <si>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</si>
  <si>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</si>
  <si>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</si>
  <si>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</si>
  <si>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</si>
  <si>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</si>
  <si>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</si>
  <si>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</si>
  <si>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</si>
  <si>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</si>
  <si>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</si>
  <si>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</si>
  <si>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</si>
  <si>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</si>
  <si>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</si>
  <si>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</si>
  <si>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</si>
  <si>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</si>
  <si>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</si>
  <si>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</si>
  <si>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</si>
  <si>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</si>
  <si>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</si>
  <si>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</si>
  <si>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</si>
  <si>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</si>
  <si>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</si>
  <si>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</si>
  <si>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</si>
  <si>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</si>
  <si>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</si>
  <si>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</si>
  <si>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</si>
  <si>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</si>
  <si>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</si>
  <si>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</si>
  <si>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</si>
  <si>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</si>
  <si>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</si>
  <si>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</si>
  <si>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</si>
  <si>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 Multas Administrativas, Contratuais e Judiciais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</si>
  <si>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</si>
  <si>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</si>
  <si>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</si>
  <si>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</si>
  <si>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</si>
  <si>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</si>
  <si>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</si>
  <si>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</si>
  <si>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</si>
  <si>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</si>
  <si>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</si>
  <si>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</si>
  <si>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</si>
  <si>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</si>
  <si>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</si>
  <si>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</si>
  <si>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</si>
  <si>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</si>
  <si>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</si>
  <si>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</si>
  <si>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</si>
  <si>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</si>
  <si>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</si>
  <si>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</si>
  <si>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</si>
  <si>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</si>
  <si>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</si>
  <si>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</si>
  <si>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</si>
  <si>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</si>
  <si>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</si>
  <si>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</si>
  <si>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</si>
  <si>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</si>
  <si>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</si>
  <si>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</si>
  <si>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</si>
  <si>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</si>
  <si>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</si>
  <si>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</si>
  <si>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</si>
  <si>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</si>
  <si>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</si>
  <si>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</si>
  <si>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</si>
  <si>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</si>
  <si>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</si>
  <si>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</si>
  <si>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</si>
  <si>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</si>
  <si>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</si>
  <si>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</si>
  <si>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</si>
  <si>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</si>
  <si>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</si>
  <si>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</si>
  <si>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</si>
  <si>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</si>
  <si>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</si>
  <si>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</si>
  <si>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</si>
  <si>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</si>
  <si>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</si>
  <si>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</si>
  <si>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</si>
  <si>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</si>
  <si>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</si>
  <si>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</si>
  <si>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</si>
  <si>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</si>
  <si>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</si>
  <si>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</si>
  <si>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</si>
  <si>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</si>
  <si>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</si>
  <si>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</si>
  <si>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</si>
  <si>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</si>
  <si>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</si>
  <si>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</si>
  <si>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</si>
  <si>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</si>
  <si>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</si>
  <si>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</si>
  <si>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</si>
  <si>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</si>
  <si>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</si>
  <si>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</si>
  <si>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</si>
  <si>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</si>
  <si>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</si>
  <si>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</si>
  <si>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</si>
  <si>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</si>
  <si>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</si>
  <si>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</si>
  <si>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</si>
  <si>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</si>
  <si>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</si>
  <si>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</si>
  <si>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</si>
  <si>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</si>
  <si>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</si>
  <si>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</si>
  <si>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</si>
  <si>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</si>
  <si>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</si>
  <si>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</si>
  <si>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</si>
  <si>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</si>
  <si>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</si>
  <si>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</si>
  <si>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</si>
  <si>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</si>
  <si>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</si>
  <si>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</si>
  <si>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</si>
  <si>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</si>
  <si>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</si>
  <si>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</si>
  <si>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</si>
  <si>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</si>
  <si>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</si>
  <si>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</si>
  <si>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</si>
  <si>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</si>
  <si>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</si>
  <si>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</si>
  <si>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</si>
  <si>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</si>
  <si>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</si>
  <si>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</si>
  <si>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</si>
  <si>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</si>
  <si>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</si>
  <si>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</si>
  <si>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</si>
  <si>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</si>
  <si>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</si>
  <si>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</si>
  <si>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</si>
  <si>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</si>
  <si>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</si>
  <si>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</si>
  <si>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</si>
  <si>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</si>
  <si>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</si>
  <si>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</si>
  <si>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</si>
  <si>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</si>
  <si>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</si>
  <si>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</si>
  <si>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</si>
  <si>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</si>
  <si>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</si>
  <si>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</si>
  <si>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</si>
  <si>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</si>
  <si>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</si>
  <si>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</si>
  <si>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</si>
  <si>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</si>
  <si>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</si>
  <si>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</si>
  <si>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</si>
  <si>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</si>
  <si>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</si>
  <si>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</si>
  <si>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</si>
  <si>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</si>
  <si>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</si>
  <si>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</si>
  <si>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</si>
  <si>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</si>
  <si>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</si>
  <si>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</si>
  <si>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</si>
  <si>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</si>
  <si>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</si>
  <si>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</si>
  <si>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</si>
  <si>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</si>
  <si>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</si>
  <si>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</si>
  <si>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</si>
  <si>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</si>
  <si>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</si>
  <si>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</si>
  <si>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</si>
  <si>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</si>
  <si>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</si>
  <si>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</si>
  <si>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</si>
  <si>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</si>
  <si>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</si>
  <si>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</si>
  <si>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</si>
  <si>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</si>
  <si>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</si>
  <si>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    Contribuições</t>
  </si>
  <si>
    <t xml:space="preserve">         Receita Patrimonial</t>
  </si>
  <si>
    <t xml:space="preserve">          Rendimentos de Aplicação Financeira</t>
  </si>
  <si>
    <t xml:space="preserve">           Outras Receitas Patrimoniais</t>
  </si>
  <si>
    <t xml:space="preserve">          Receita Agropecuária</t>
  </si>
  <si>
    <t xml:space="preserve">           Receita Industrial</t>
  </si>
  <si>
    <t xml:space="preserve">           Receita de Serviços</t>
  </si>
  <si>
    <t xml:space="preserve">      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</si>
  <si>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</si>
  <si>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</si>
  <si>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</si>
  <si>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</si>
  <si>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</si>
  <si>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</si>
  <si>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</si>
  <si>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</si>
  <si>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</si>
  <si>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</si>
  <si>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</si>
  <si>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</si>
  <si>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</si>
  <si>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</si>
  <si>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</si>
  <si>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</si>
  <si>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</si>
  <si>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</si>
  <si>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</si>
  <si>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</si>
  <si>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</si>
  <si>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</si>
  <si>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</si>
  <si>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</si>
  <si>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</si>
  <si>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</si>
  <si>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</si>
  <si>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</si>
  <si>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</si>
  <si>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</si>
  <si>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</si>
  <si>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</si>
  <si>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</si>
  <si>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</si>
  <si>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</si>
  <si>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</si>
  <si>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</si>
  <si>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</si>
  <si>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</si>
  <si>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</si>
  <si>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</si>
  <si>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</si>
  <si>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</si>
  <si>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</si>
  <si>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</si>
  <si>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REFAZER FORMULA ADICIONAR ITEM III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</si>
  <si>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</si>
  <si>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</si>
  <si>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</si>
  <si>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</si>
  <si>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</si>
  <si>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</si>
  <si>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</si>
  <si>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</si>
  <si>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</si>
  <si>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</si>
  <si>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</si>
  <si>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</si>
  <si>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</si>
  <si>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</si>
  <si>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</si>
  <si>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</si>
  <si>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</si>
  <si>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</si>
  <si>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</si>
  <si>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</si>
  <si>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</si>
  <si>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</si>
  <si>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</si>
  <si>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</si>
  <si>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</si>
  <si>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</si>
  <si>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</si>
  <si>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</si>
  <si>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</si>
  <si>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</si>
  <si>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</si>
  <si>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</si>
  <si>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</si>
  <si>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</si>
  <si>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</si>
  <si>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</si>
  <si>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</si>
  <si>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</si>
  <si>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</si>
  <si>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</si>
  <si>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</si>
  <si>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</si>
  <si>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</si>
  <si>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</si>
  <si>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</si>
  <si>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</si>
  <si>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</si>
  <si>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</si>
  <si>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</si>
  <si>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</si>
  <si>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</si>
  <si>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</si>
  <si>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</si>
  <si>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</si>
  <si>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</si>
  <si>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</si>
  <si>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</si>
  <si>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</si>
  <si>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</si>
  <si>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</si>
  <si>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</si>
  <si>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</si>
  <si>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</si>
  <si>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</si>
  <si>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</si>
  <si>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</si>
  <si>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</si>
  <si>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</si>
  <si>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</si>
  <si>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</si>
  <si>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</si>
  <si>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</si>
  <si>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</si>
  <si>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</si>
  <si>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</si>
  <si>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</si>
  <si>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</si>
  <si>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</si>
  <si>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</si>
  <si>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</si>
  <si>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</si>
  <si>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</si>
  <si>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</si>
  <si>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</si>
  <si>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</si>
  <si>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</si>
  <si>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</si>
  <si>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</si>
  <si>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</si>
  <si>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</si>
  <si>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</si>
  <si>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</si>
  <si>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</si>
  <si>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</si>
  <si>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</si>
  <si>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</si>
  <si>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</si>
  <si>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</si>
  <si>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</si>
  <si>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</si>
  <si>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</si>
  <si>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</si>
  <si>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</si>
  <si>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</si>
  <si>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</si>
  <si>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</si>
  <si>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</si>
  <si>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</si>
  <si>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</si>
  <si>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</si>
  <si>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</si>
  <si>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</si>
  <si>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</si>
  <si>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</si>
  <si>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</si>
  <si>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</si>
  <si>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</si>
  <si>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</si>
  <si>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</si>
  <si>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</si>
  <si>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</si>
  <si>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</si>
  <si>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</si>
  <si>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</si>
  <si>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</si>
  <si>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</si>
  <si>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</si>
  <si>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</si>
  <si>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</si>
  <si>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</si>
  <si>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</si>
  <si>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</si>
  <si>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</si>
  <si>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</si>
  <si>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</si>
  <si>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PAGOS     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</si>
  <si>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</si>
  <si>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</si>
  <si>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</si>
  <si>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</si>
  <si>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</si>
  <si>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</si>
  <si>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</si>
  <si>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</si>
  <si>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</si>
  <si>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</si>
  <si>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</si>
  <si>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</si>
  <si>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</si>
  <si>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</si>
  <si>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</si>
  <si>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</si>
  <si>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</si>
  <si>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</si>
  <si>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</si>
  <si>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</si>
  <si>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</si>
  <si>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 E ENCARGOS ATIVOS (XXV)</t>
  </si>
  <si>
    <t>JUROS E ENCARGOS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</si>
  <si>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</si>
  <si>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</si>
  <si>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</si>
  <si>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</si>
  <si>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</si>
  <si>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</si>
  <si>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</si>
  <si>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</si>
  <si>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</si>
  <si>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</si>
  <si>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</si>
  <si>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</si>
  <si>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</si>
  <si>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</si>
  <si>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</si>
  <si>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OUTROS AJUSTES (XXXV)</t>
  </si>
  <si>
    <t>RESULTADO NOMINAL AJUSTADO - Abaixo da Linha (XXXVI) = (XXXII - XXXIII - IX + XXXIV + XXXV)</t>
  </si>
  <si>
    <t>RESULTADO PRIMÁRIO - Abaixo da Linha (XXXVII) =  XXXVI - (XXV -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</si>
  <si>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</si>
  <si>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</si>
  <si>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</si>
  <si>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</si>
  <si>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</si>
  <si>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</si>
  <si>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</si>
  <si>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</si>
  <si>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</si>
  <si>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</si>
  <si>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</si>
  <si>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</si>
  <si>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</si>
  <si>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</si>
  <si>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</si>
  <si>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</si>
  <si>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</si>
  <si>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</si>
  <si>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</si>
  <si>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</si>
  <si>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</si>
  <si>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</si>
  <si>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</si>
  <si>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</si>
  <si>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</si>
  <si>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</si>
  <si>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</si>
  <si>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</si>
  <si>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</si>
  <si>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</si>
  <si>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</si>
  <si>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</si>
  <si>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</si>
  <si>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</si>
  <si>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</si>
  <si>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</si>
  <si>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</si>
  <si>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</si>
  <si>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</si>
  <si>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</si>
  <si>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 xml:space="preserve">    Poder Executivo Municipal</t>
  </si>
  <si>
    <t xml:space="preserve">    Poder Legislativo Municipal</t>
  </si>
  <si>
    <t xml:space="preserve">     Tribunal de Contas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</si>
  <si>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</si>
  <si>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</si>
  <si>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</si>
  <si>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</si>
  <si>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</si>
  <si>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</si>
  <si>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</si>
  <si>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</si>
  <si>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</si>
  <si>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</si>
  <si>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</si>
  <si>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</si>
  <si>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</si>
  <si>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</si>
  <si>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</si>
  <si>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</si>
  <si>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</si>
  <si>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</si>
  <si>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</si>
  <si>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</si>
  <si>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</si>
  <si>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</si>
  <si>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</si>
  <si>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</si>
  <si>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</si>
  <si>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</si>
  <si>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</si>
  <si>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</si>
  <si>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>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</si>
  <si>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</si>
  <si>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</si>
  <si>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</si>
  <si>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</si>
  <si>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</si>
  <si>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</si>
  <si>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</si>
  <si>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</si>
  <si>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</si>
  <si>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</si>
  <si>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</si>
  <si>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</si>
  <si>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</si>
  <si>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</si>
  <si>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</si>
  <si>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</si>
  <si>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</si>
  <si>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</si>
  <si>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</si>
  <si>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</si>
  <si>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</si>
  <si>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</si>
  <si>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</si>
  <si>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</si>
  <si>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</si>
  <si>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</si>
  <si>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</si>
  <si>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</si>
  <si>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</si>
  <si>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</si>
  <si>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</si>
  <si>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</si>
  <si>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</si>
  <si>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</si>
  <si>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</si>
  <si>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</si>
  <si>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</si>
  <si>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</si>
  <si>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</si>
  <si>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</si>
  <si>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</si>
  <si>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</si>
  <si>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</si>
  <si>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</si>
  <si>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</si>
  <si>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</si>
  <si>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</si>
  <si>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</si>
  <si>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</si>
  <si>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</si>
  <si>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</si>
  <si>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</si>
  <si>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</si>
  <si>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</si>
  <si>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</si>
  <si>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</si>
  <si>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</si>
  <si>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</si>
  <si>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</si>
  <si>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</si>
  <si>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</si>
  <si>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</si>
  <si>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</si>
  <si>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</si>
  <si>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</si>
  <si>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</si>
  <si>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</si>
  <si>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</si>
  <si>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</si>
  <si>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</si>
  <si>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</si>
  <si>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</si>
  <si>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</si>
  <si>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</si>
  <si>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</si>
  <si>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</si>
  <si>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</si>
  <si>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</si>
  <si>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</si>
  <si>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</si>
  <si>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</si>
  <si>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</si>
  <si>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</si>
  <si>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</si>
  <si>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</si>
  <si>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</si>
  <si>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</si>
  <si>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</si>
  <si>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</si>
  <si>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</si>
  <si>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</si>
  <si>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</si>
  <si>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</si>
  <si>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</si>
  <si>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</si>
  <si>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</si>
  <si>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</si>
  <si>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</si>
  <si>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</si>
  <si>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</si>
  <si>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</si>
  <si>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</si>
  <si>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</si>
  <si>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</si>
  <si>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</si>
  <si>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</si>
  <si>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</si>
  <si>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</si>
  <si>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</si>
  <si>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</si>
  <si>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</si>
  <si>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</si>
  <si>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</si>
  <si>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</si>
  <si>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</si>
  <si>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</si>
  <si>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</si>
  <si>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</si>
  <si>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</si>
  <si>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</si>
  <si>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</si>
  <si>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</si>
  <si>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</si>
  <si>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</si>
  <si>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</si>
  <si>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</si>
  <si>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</si>
  <si>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</si>
  <si>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</si>
  <si>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</si>
  <si>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</si>
  <si>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</si>
  <si>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</si>
  <si>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</si>
  <si>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</si>
  <si>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</si>
  <si>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</si>
  <si>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</si>
  <si>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</si>
  <si>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</si>
  <si>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</si>
  <si>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</si>
  <si>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</si>
  <si>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</si>
  <si>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</si>
  <si>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</si>
  <si>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</si>
  <si>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</si>
  <si>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</si>
  <si>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</si>
  <si>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</si>
  <si>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</si>
  <si>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</si>
  <si>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</si>
  <si>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</si>
  <si>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</si>
  <si>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</si>
  <si>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</si>
  <si>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</si>
  <si>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</si>
  <si>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</si>
  <si>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</si>
  <si>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</si>
  <si>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</si>
  <si>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</si>
  <si>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</si>
  <si>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</si>
  <si>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</si>
  <si>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</si>
  <si>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</si>
  <si>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</si>
  <si>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</si>
  <si>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</si>
  <si>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</si>
  <si>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</si>
  <si>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</si>
  <si>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</si>
  <si>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</si>
  <si>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</si>
  <si>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</si>
  <si>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</si>
  <si>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</si>
  <si>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</si>
  <si>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</si>
  <si>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</si>
  <si>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</si>
  <si>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</si>
  <si>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</si>
  <si>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</si>
  <si>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</si>
  <si>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</si>
  <si>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</si>
  <si>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</si>
  <si>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</si>
  <si>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</si>
  <si>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</si>
  <si>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</si>
  <si>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</si>
  <si>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</si>
  <si>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</si>
  <si>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</si>
  <si>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</si>
  <si>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</si>
  <si>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</si>
  <si>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</si>
  <si>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</si>
  <si>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</si>
  <si>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</si>
  <si>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</si>
  <si>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</si>
  <si>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</si>
  <si>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</si>
  <si>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</si>
  <si>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</si>
  <si>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</si>
  <si>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</si>
  <si>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</si>
  <si>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</si>
  <si>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</si>
  <si>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</si>
  <si>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</si>
  <si>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</si>
  <si>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</si>
  <si>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</si>
  <si>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</si>
  <si>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</si>
  <si>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</si>
  <si>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</si>
  <si>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</si>
  <si>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</si>
  <si>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</si>
  <si>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</si>
  <si>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</si>
  <si>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</si>
  <si>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</si>
  <si>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</si>
  <si>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</si>
  <si>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</si>
  <si>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</si>
  <si>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</si>
  <si>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</si>
  <si>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</si>
  <si>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</si>
  <si>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</si>
  <si>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</si>
  <si>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</si>
  <si>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</si>
  <si>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</si>
  <si>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</si>
  <si>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</si>
  <si>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</si>
  <si>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</si>
  <si>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</si>
  <si>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</si>
  <si>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</si>
  <si>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</si>
  <si>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</si>
  <si>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</si>
  <si>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</si>
  <si>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</si>
  <si>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</si>
  <si>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</si>
  <si>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</si>
  <si>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</si>
  <si>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</si>
  <si>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</si>
  <si>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</si>
  <si>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</si>
  <si>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</si>
  <si>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</si>
  <si>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</si>
  <si>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</si>
  <si>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</si>
  <si>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</si>
  <si>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</si>
  <si>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</si>
  <si>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</si>
  <si>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</si>
  <si>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</si>
  <si>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</si>
  <si>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</si>
  <si>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</si>
  <si>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</si>
  <si>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</si>
  <si>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</si>
  <si>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</si>
  <si>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</si>
  <si>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</si>
  <si>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</si>
  <si>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</si>
  <si>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</si>
  <si>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</si>
  <si>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</si>
  <si>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</si>
  <si>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</si>
  <si>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</si>
  <si>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</si>
  <si>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</si>
  <si>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</si>
  <si>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</si>
  <si>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</si>
  <si>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</si>
  <si>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</si>
  <si>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</si>
  <si>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</si>
  <si>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</si>
  <si>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</si>
  <si>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</si>
  <si>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</si>
  <si>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</si>
  <si>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</si>
  <si>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</si>
  <si>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</si>
  <si>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</si>
  <si>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</si>
  <si>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</si>
  <si>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</si>
  <si>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</si>
  <si>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</si>
  <si>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</si>
  <si>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</si>
  <si>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</si>
  <si>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</si>
  <si>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</si>
  <si>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</si>
  <si>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</si>
  <si>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</si>
  <si>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</si>
  <si>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</si>
  <si>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</si>
  <si>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</si>
  <si>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</si>
  <si>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</si>
  <si>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</si>
  <si>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</si>
  <si>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</si>
  <si>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</si>
  <si>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</si>
  <si>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</si>
  <si>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</si>
  <si>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</si>
  <si>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</si>
  <si>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</si>
  <si>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</si>
  <si>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</si>
  <si>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</si>
  <si>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</si>
  <si>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</si>
  <si>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</si>
  <si>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</si>
  <si>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</si>
  <si>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</si>
  <si>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</si>
  <si>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</si>
  <si>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>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</si>
  <si>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</si>
  <si>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</si>
  <si>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</si>
  <si>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</si>
  <si>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</si>
  <si>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</si>
  <si>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</si>
  <si>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</si>
  <si>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</si>
  <si>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</si>
  <si>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</si>
  <si>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</si>
  <si>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</si>
  <si>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</si>
  <si>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</si>
  <si>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</si>
  <si>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</si>
  <si>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</si>
  <si>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</si>
  <si>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</si>
  <si>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</si>
  <si>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</si>
  <si>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</si>
  <si>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</si>
  <si>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</si>
  <si>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</si>
  <si>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</si>
  <si>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</si>
  <si>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</si>
  <si>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</si>
  <si>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</si>
  <si>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</si>
  <si>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</si>
  <si>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</si>
  <si>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</si>
  <si>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</si>
  <si>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</si>
  <si>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</si>
  <si>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</si>
  <si>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</si>
  <si>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</si>
  <si>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</si>
  <si>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</si>
  <si>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</si>
  <si>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</si>
  <si>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</si>
  <si>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</si>
  <si>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</si>
  <si>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</si>
  <si>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</si>
  <si>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</si>
  <si>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</si>
  <si>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</si>
  <si>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</si>
  <si>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</si>
  <si>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</si>
  <si>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</si>
  <si>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</si>
  <si>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</si>
  <si>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</si>
  <si>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</si>
  <si>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</si>
  <si>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</si>
  <si>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</si>
  <si>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</si>
  <si>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</si>
  <si>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</si>
  <si>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</si>
  <si>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</si>
  <si>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</si>
  <si>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</si>
  <si>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</si>
  <si>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</si>
  <si>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</si>
  <si>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</si>
  <si>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</si>
  <si>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</si>
  <si>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</si>
  <si>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</si>
  <si>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</si>
  <si>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</si>
  <si>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</si>
  <si>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</si>
  <si>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</si>
  <si>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</si>
  <si>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</si>
  <si>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</si>
  <si>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</si>
  <si>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</si>
  <si>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</si>
  <si>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</si>
  <si>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</si>
  <si>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</si>
  <si>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</si>
  <si>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</si>
  <si>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</si>
  <si>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</si>
  <si>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ESTADO DO MARANHÃO - PREFEITURA MUNICIPAL DE DAVINOPOLIS</t>
  </si>
  <si>
    <t>&lt;CNPJ.:01.616.269/0001-60</t>
  </si>
  <si>
    <t>IVANILDO PAIVA BARBOSA</t>
  </si>
  <si>
    <t>2017/2020</t>
  </si>
  <si>
    <t>252.222.953-20</t>
  </si>
  <si>
    <t>GUSTAVO SILVA DE FRANÇA</t>
  </si>
  <si>
    <t xml:space="preserve">CRC-MA 013563/O-6 </t>
  </si>
  <si>
    <t>MURAL DA PREFEITURA E PORTAL TRANSPARENCIA</t>
  </si>
  <si>
    <t>www.davinopolis.ma.gov.br</t>
  </si>
  <si>
    <t>RUA 5 S/N</t>
  </si>
  <si>
    <t>(99)3015-6703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</si>
</sst>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* #,##0.00\ ;* \(#,##0.00\);* \-#\ ;@\ "/>
    <numFmt numFmtId="172" formatCode="* #,##0.00\ ;\-* #,##0.00\ ;* \-#\ ;@\ "/>
    <numFmt numFmtId="173" formatCode="#,##0.0\ ;\(#,##0.0\)"/>
    <numFmt numFmtId="174" formatCode="&quot;R$ &quot;#,##0.00\ ;[Red]&quot;(R$ &quot;#,##0.00\)"/>
    <numFmt numFmtId="175" formatCode="#,##0\ ;\(#,##0\)"/>
    <numFmt numFmtId="176" formatCode="#,##0.00\ ;[Red]\(#,##0.00\)"/>
    <numFmt numFmtId="177" formatCode="#,##0.00;[Red]\(#,##0.00\)"/>
    <numFmt numFmtId="178" formatCode="0.00;[Red]\-0.00"/>
    <numFmt numFmtId="179" formatCode="mm/dd/yyyy"/>
  </numFmts>
  <fonts count="68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67" fillId="0" borderId="0"/>
    <xf numFmtId="0" fontId="67" fillId="0" borderId="0"/>
    <xf numFmtId="0" fontId="11" fillId="8" borderId="1" applyNumberFormat="0" applyAlignment="0" applyProtection="0"/>
    <xf numFmtId="0" fontId="11" fillId="8" borderId="1" applyNumberFormat="0" applyAlignment="0" applyProtection="0"/>
    <xf numFmtId="9" fontId="67" fillId="0" borderId="0" applyFill="0" applyBorder="0" applyAlignment="0" applyProtection="0"/>
    <xf numFmtId="170" fontId="67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2" fontId="67" fillId="0" borderId="0" applyFill="0" applyBorder="0" applyAlignment="0" applyProtection="0"/>
    <xf numFmtId="170" fontId="67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01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9" borderId="2" xfId="25" applyFont="1" applyFill="1" applyBorder="1" applyAlignment="1" applyProtection="1">
      <alignment horizontal="center" vertical="center"/>
    </xf>
    <xf numFmtId="0" fontId="67" fillId="9" borderId="3" xfId="25" applyFill="1" applyBorder="1" applyAlignment="1" applyProtection="1">
      <alignment vertical="center"/>
    </xf>
    <xf numFmtId="0" fontId="0" fillId="0" borderId="4" xfId="25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10" borderId="4" xfId="25" applyFont="1" applyFill="1" applyBorder="1" applyAlignment="1" applyProtection="1">
      <alignment horizontal="left" vertical="center"/>
    </xf>
    <xf numFmtId="0" fontId="20" fillId="10" borderId="4" xfId="25" applyFont="1" applyFill="1" applyBorder="1" applyAlignment="1" applyProtection="1">
      <alignment horizontal="left" vertical="center" wrapText="1"/>
    </xf>
    <xf numFmtId="0" fontId="22" fillId="2" borderId="4" xfId="25" applyFont="1" applyFill="1" applyBorder="1" applyAlignment="1" applyProtection="1">
      <alignment horizontal="left" vertical="center"/>
    </xf>
    <xf numFmtId="0" fontId="0" fillId="0" borderId="4" xfId="25" applyFont="1" applyBorder="1" applyAlignment="1" applyProtection="1">
      <alignment horizontal="left" vertical="center" wrapText="1"/>
    </xf>
    <xf numFmtId="0" fontId="0" fillId="10" borderId="5" xfId="25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72" fontId="23" fillId="0" borderId="0" xfId="3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3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74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1" borderId="6" xfId="0" applyNumberFormat="1" applyFont="1" applyFill="1" applyBorder="1" applyAlignment="1" applyProtection="1">
      <alignment horizontal="center"/>
    </xf>
    <xf numFmtId="173" fontId="25" fillId="11" borderId="7" xfId="0" applyNumberFormat="1" applyFont="1" applyFill="1" applyBorder="1" applyAlignment="1" applyProtection="1">
      <alignment horizontal="center"/>
    </xf>
    <xf numFmtId="49" fontId="25" fillId="11" borderId="7" xfId="0" applyNumberFormat="1" applyFont="1" applyFill="1" applyBorder="1" applyAlignment="1" applyProtection="1">
      <alignment horizontal="center"/>
    </xf>
    <xf numFmtId="49" fontId="25" fillId="11" borderId="8" xfId="0" applyNumberFormat="1" applyFont="1" applyFill="1" applyBorder="1" applyAlignment="1" applyProtection="1">
      <alignment horizontal="center"/>
    </xf>
    <xf numFmtId="173" fontId="25" fillId="11" borderId="9" xfId="0" applyNumberFormat="1" applyFont="1" applyFill="1" applyBorder="1" applyAlignment="1" applyProtection="1">
      <alignment horizontal="center"/>
    </xf>
    <xf numFmtId="49" fontId="25" fillId="11" borderId="9" xfId="0" applyNumberFormat="1" applyFont="1" applyFill="1" applyBorder="1" applyAlignment="1" applyProtection="1">
      <alignment horizontal="center"/>
    </xf>
    <xf numFmtId="0" fontId="23" fillId="11" borderId="4" xfId="0" applyFont="1" applyFill="1" applyBorder="1" applyAlignment="1" applyProtection="1">
      <alignment wrapText="1"/>
    </xf>
    <xf numFmtId="10" fontId="23" fillId="11" borderId="10" xfId="29" applyNumberFormat="1" applyFont="1" applyFill="1" applyBorder="1" applyAlignment="1" applyProtection="1"/>
    <xf numFmtId="172" fontId="23" fillId="11" borderId="11" xfId="35" applyFont="1" applyFill="1" applyBorder="1" applyAlignment="1" applyProtection="1"/>
    <xf numFmtId="49" fontId="23" fillId="7" borderId="4" xfId="0" applyNumberFormat="1" applyFont="1" applyFill="1" applyBorder="1" applyAlignment="1" applyProtection="1"/>
    <xf numFmtId="10" fontId="23" fillId="7" borderId="7" xfId="29" applyNumberFormat="1" applyFont="1" applyFill="1" applyBorder="1" applyAlignment="1" applyProtection="1"/>
    <xf numFmtId="172" fontId="23" fillId="7" borderId="6" xfId="35" applyFont="1" applyFill="1" applyBorder="1" applyAlignment="1" applyProtection="1"/>
    <xf numFmtId="49" fontId="27" fillId="8" borderId="4" xfId="0" applyNumberFormat="1" applyFont="1" applyFill="1" applyBorder="1" applyAlignment="1" applyProtection="1"/>
    <xf numFmtId="10" fontId="23" fillId="8" borderId="6" xfId="29" applyNumberFormat="1" applyFont="1" applyFill="1" applyBorder="1" applyAlignment="1" applyProtection="1"/>
    <xf numFmtId="172" fontId="23" fillId="8" borderId="6" xfId="3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29" applyNumberFormat="1" applyFont="1" applyFill="1" applyBorder="1" applyAlignment="1" applyProtection="1"/>
    <xf numFmtId="172" fontId="23" fillId="0" borderId="6" xfId="35" applyFont="1" applyFill="1" applyBorder="1" applyAlignment="1" applyProtection="1"/>
    <xf numFmtId="49" fontId="23" fillId="8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72" fontId="23" fillId="11" borderId="6" xfId="35" applyFont="1" applyFill="1" applyBorder="1" applyAlignment="1" applyProtection="1">
      <alignment horizontal="center" vertical="center"/>
      <protection locked="0"/>
    </xf>
    <xf numFmtId="10" fontId="23" fillId="0" borderId="6" xfId="29" applyNumberFormat="1" applyFont="1" applyFill="1" applyBorder="1" applyAlignment="1" applyProtection="1">
      <alignment vertical="center"/>
    </xf>
    <xf numFmtId="172" fontId="23" fillId="0" borderId="6" xfId="35" applyFont="1" applyFill="1" applyBorder="1" applyAlignment="1" applyProtection="1">
      <alignment vertical="center"/>
    </xf>
    <xf numFmtId="10" fontId="23" fillId="12" borderId="6" xfId="29" applyNumberFormat="1" applyFont="1" applyFill="1" applyBorder="1" applyAlignment="1" applyProtection="1"/>
    <xf numFmtId="172" fontId="23" fillId="12" borderId="6" xfId="35" applyFont="1" applyFill="1" applyBorder="1" applyAlignment="1" applyProtection="1"/>
    <xf numFmtId="10" fontId="23" fillId="13" borderId="6" xfId="29" applyNumberFormat="1" applyFont="1" applyFill="1" applyBorder="1" applyAlignment="1" applyProtection="1"/>
    <xf numFmtId="172" fontId="23" fillId="13" borderId="6" xfId="3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72" fontId="23" fillId="11" borderId="7" xfId="35" applyFont="1" applyFill="1" applyBorder="1" applyAlignment="1" applyProtection="1">
      <alignment horizontal="center"/>
      <protection locked="0"/>
    </xf>
    <xf numFmtId="172" fontId="23" fillId="11" borderId="4" xfId="35" applyFont="1" applyFill="1" applyBorder="1" applyAlignment="1" applyProtection="1">
      <alignment horizontal="center"/>
      <protection locked="0"/>
    </xf>
    <xf numFmtId="0" fontId="27" fillId="11" borderId="5" xfId="0" applyFont="1" applyFill="1" applyBorder="1" applyAlignment="1" applyProtection="1">
      <alignment horizontal="justify" vertical="top" wrapText="1"/>
    </xf>
    <xf numFmtId="10" fontId="23" fillId="11" borderId="6" xfId="29" applyNumberFormat="1" applyFont="1" applyFill="1" applyBorder="1" applyAlignment="1" applyProtection="1"/>
    <xf numFmtId="172" fontId="23" fillId="11" borderId="6" xfId="35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4" borderId="12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/>
    <xf numFmtId="0" fontId="23" fillId="11" borderId="13" xfId="0" applyNumberFormat="1" applyFont="1" applyFill="1" applyBorder="1" applyAlignment="1" applyProtection="1">
      <alignment wrapText="1"/>
    </xf>
    <xf numFmtId="172" fontId="23" fillId="11" borderId="6" xfId="35" applyFont="1" applyFill="1" applyBorder="1" applyAlignment="1" applyProtection="1">
      <alignment horizontal="center"/>
    </xf>
    <xf numFmtId="10" fontId="23" fillId="7" borderId="6" xfId="2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72" fontId="23" fillId="14" borderId="12" xfId="35" applyFont="1" applyFill="1" applyBorder="1" applyAlignment="1" applyProtection="1">
      <alignment horizontal="center"/>
    </xf>
    <xf numFmtId="172" fontId="23" fillId="15" borderId="12" xfId="35" applyFont="1" applyFill="1" applyBorder="1" applyAlignment="1" applyProtection="1"/>
    <xf numFmtId="49" fontId="23" fillId="11" borderId="3" xfId="0" applyNumberFormat="1" applyFont="1" applyFill="1" applyBorder="1" applyAlignment="1" applyProtection="1"/>
    <xf numFmtId="172" fontId="23" fillId="11" borderId="12" xfId="35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1" borderId="14" xfId="0" applyNumberFormat="1" applyFont="1" applyFill="1" applyBorder="1" applyAlignment="1" applyProtection="1"/>
    <xf numFmtId="0" fontId="25" fillId="11" borderId="10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5" fillId="11" borderId="7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horizontal="center"/>
    </xf>
    <xf numFmtId="0" fontId="25" fillId="11" borderId="15" xfId="0" applyNumberFormat="1" applyFont="1" applyFill="1" applyBorder="1" applyAlignment="1" applyProtection="1"/>
    <xf numFmtId="0" fontId="25" fillId="11" borderId="8" xfId="0" applyNumberFormat="1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/>
    </xf>
    <xf numFmtId="0" fontId="23" fillId="11" borderId="0" xfId="0" applyNumberFormat="1" applyFont="1" applyFill="1" applyBorder="1" applyAlignment="1" applyProtection="1">
      <alignment wrapText="1"/>
    </xf>
    <xf numFmtId="0" fontId="23" fillId="7" borderId="0" xfId="0" applyNumberFormat="1" applyFont="1" applyFill="1" applyBorder="1" applyAlignment="1" applyProtection="1"/>
    <xf numFmtId="0" fontId="23" fillId="8" borderId="0" xfId="0" applyNumberFormat="1" applyFont="1" applyFill="1" applyBorder="1" applyAlignment="1" applyProtection="1"/>
    <xf numFmtId="172" fontId="23" fillId="11" borderId="6" xfId="35" applyFont="1" applyFill="1" applyBorder="1" applyAlignment="1" applyProtection="1">
      <protection locked="0"/>
    </xf>
    <xf numFmtId="172" fontId="23" fillId="11" borderId="7" xfId="35" applyFont="1" applyFill="1" applyBorder="1" applyAlignment="1" applyProtection="1">
      <protection locked="0"/>
    </xf>
    <xf numFmtId="172" fontId="23" fillId="8" borderId="7" xfId="35" applyFont="1" applyFill="1" applyBorder="1" applyAlignment="1" applyProtection="1"/>
    <xf numFmtId="172" fontId="25" fillId="11" borderId="6" xfId="35" applyFont="1" applyFill="1" applyBorder="1" applyAlignment="1" applyProtection="1">
      <protection locked="0"/>
    </xf>
    <xf numFmtId="172" fontId="23" fillId="7" borderId="12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1" borderId="0" xfId="0" applyNumberFormat="1" applyFont="1" applyFill="1" applyBorder="1" applyAlignment="1" applyProtection="1"/>
    <xf numFmtId="172" fontId="23" fillId="11" borderId="7" xfId="3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72" fontId="23" fillId="0" borderId="16" xfId="35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</xf>
    <xf numFmtId="0" fontId="23" fillId="7" borderId="13" xfId="0" applyNumberFormat="1" applyFont="1" applyFill="1" applyBorder="1" applyAlignment="1" applyProtection="1">
      <alignment wrapText="1"/>
    </xf>
    <xf numFmtId="172" fontId="23" fillId="7" borderId="10" xfId="35" applyFont="1" applyFill="1" applyBorder="1" applyAlignment="1" applyProtection="1"/>
    <xf numFmtId="172" fontId="23" fillId="0" borderId="7" xfId="3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  <protection locked="0"/>
    </xf>
    <xf numFmtId="0" fontId="23" fillId="11" borderId="15" xfId="0" applyNumberFormat="1" applyFont="1" applyFill="1" applyBorder="1" applyAlignment="1" applyProtection="1"/>
    <xf numFmtId="172" fontId="23" fillId="11" borderId="9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72" fontId="23" fillId="11" borderId="16" xfId="35" applyNumberFormat="1" applyFont="1" applyFill="1" applyBorder="1" applyAlignment="1" applyProtection="1"/>
    <xf numFmtId="172" fontId="23" fillId="7" borderId="16" xfId="3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72" fontId="23" fillId="0" borderId="15" xfId="0" applyNumberFormat="1" applyFont="1" applyFill="1" applyBorder="1" applyAlignment="1" applyProtection="1"/>
    <xf numFmtId="49" fontId="25" fillId="11" borderId="13" xfId="0" applyNumberFormat="1" applyFont="1" applyFill="1" applyBorder="1" applyAlignment="1" applyProtection="1">
      <alignment wrapText="1"/>
    </xf>
    <xf numFmtId="49" fontId="25" fillId="11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1" borderId="4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/>
    <xf numFmtId="49" fontId="25" fillId="11" borderId="9" xfId="0" applyNumberFormat="1" applyFont="1" applyFill="1" applyBorder="1" applyAlignment="1" applyProtection="1">
      <alignment vertical="center"/>
    </xf>
    <xf numFmtId="49" fontId="25" fillId="11" borderId="5" xfId="0" applyNumberFormat="1" applyFont="1" applyFill="1" applyBorder="1" applyAlignment="1" applyProtection="1">
      <alignment vertical="center"/>
    </xf>
    <xf numFmtId="0" fontId="23" fillId="11" borderId="13" xfId="0" applyFont="1" applyFill="1" applyBorder="1" applyAlignment="1" applyProtection="1">
      <alignment wrapText="1"/>
    </xf>
    <xf numFmtId="10" fontId="23" fillId="0" borderId="7" xfId="2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1" borderId="7" xfId="0" applyNumberFormat="1" applyFont="1" applyFill="1" applyBorder="1" applyAlignment="1" applyProtection="1">
      <alignment horizontal="center" wrapText="1"/>
    </xf>
    <xf numFmtId="0" fontId="25" fillId="11" borderId="8" xfId="0" applyNumberFormat="1" applyFont="1" applyFill="1" applyBorder="1" applyAlignment="1" applyProtection="1">
      <alignment horizontal="center" vertic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172" fontId="23" fillId="7" borderId="11" xfId="35" applyFont="1" applyFill="1" applyBorder="1" applyAlignment="1" applyProtection="1"/>
    <xf numFmtId="0" fontId="23" fillId="8" borderId="4" xfId="0" applyNumberFormat="1" applyFont="1" applyFill="1" applyBorder="1" applyAlignment="1" applyProtection="1"/>
    <xf numFmtId="172" fontId="23" fillId="11" borderId="0" xfId="3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72" fontId="23" fillId="11" borderId="15" xfId="35" applyFont="1" applyFill="1" applyBorder="1" applyAlignment="1" applyProtection="1">
      <protection locked="0"/>
    </xf>
    <xf numFmtId="172" fontId="23" fillId="11" borderId="8" xfId="35" applyFont="1" applyFill="1" applyBorder="1" applyAlignment="1" applyProtection="1">
      <protection locked="0"/>
    </xf>
    <xf numFmtId="172" fontId="23" fillId="0" borderId="8" xfId="3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73" fontId="23" fillId="0" borderId="0" xfId="0" applyNumberFormat="1" applyFont="1" applyFill="1" applyProtection="1"/>
    <xf numFmtId="174" fontId="23" fillId="0" borderId="0" xfId="0" applyNumberFormat="1" applyFont="1" applyFill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/>
    </xf>
    <xf numFmtId="0" fontId="25" fillId="11" borderId="6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/>
    <xf numFmtId="0" fontId="25" fillId="11" borderId="8" xfId="0" applyFont="1" applyFill="1" applyBorder="1" applyAlignment="1" applyProtection="1">
      <alignment horizontal="center"/>
    </xf>
    <xf numFmtId="0" fontId="25" fillId="11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7" borderId="4" xfId="0" applyFont="1" applyFill="1" applyBorder="1" applyAlignment="1" applyProtection="1"/>
    <xf numFmtId="172" fontId="23" fillId="7" borderId="6" xfId="0" applyNumberFormat="1" applyFont="1" applyFill="1" applyBorder="1" applyAlignment="1" applyProtection="1"/>
    <xf numFmtId="0" fontId="23" fillId="8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72" fontId="23" fillId="11" borderId="4" xfId="35" applyFont="1" applyFill="1" applyBorder="1" applyAlignment="1" applyProtection="1">
      <protection locked="0"/>
    </xf>
    <xf numFmtId="172" fontId="23" fillId="0" borderId="7" xfId="35" applyFont="1" applyFill="1" applyBorder="1" applyAlignment="1" applyProtection="1"/>
    <xf numFmtId="172" fontId="23" fillId="11" borderId="12" xfId="35" applyNumberFormat="1" applyFont="1" applyFill="1" applyBorder="1" applyAlignment="1" applyProtection="1">
      <protection locked="0"/>
    </xf>
    <xf numFmtId="0" fontId="23" fillId="14" borderId="12" xfId="0" applyFont="1" applyFill="1" applyBorder="1" applyProtection="1"/>
    <xf numFmtId="172" fontId="23" fillId="8" borderId="12" xfId="3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8" borderId="4" xfId="0" applyFont="1" applyFill="1" applyBorder="1" applyProtection="1"/>
    <xf numFmtId="0" fontId="23" fillId="11" borderId="12" xfId="0" applyFont="1" applyFill="1" applyBorder="1" applyProtection="1">
      <protection locked="0"/>
    </xf>
    <xf numFmtId="0" fontId="23" fillId="7" borderId="4" xfId="0" applyFont="1" applyFill="1" applyBorder="1" applyProtection="1"/>
    <xf numFmtId="0" fontId="23" fillId="11" borderId="6" xfId="0" applyFont="1" applyFill="1" applyBorder="1" applyProtection="1">
      <protection locked="0"/>
    </xf>
    <xf numFmtId="0" fontId="23" fillId="7" borderId="6" xfId="0" applyFont="1" applyFill="1" applyBorder="1" applyProtection="1">
      <protection locked="0"/>
    </xf>
    <xf numFmtId="172" fontId="23" fillId="7" borderId="7" xfId="35" applyFont="1" applyFill="1" applyBorder="1" applyAlignment="1" applyProtection="1"/>
    <xf numFmtId="0" fontId="23" fillId="11" borderId="2" xfId="0" applyFont="1" applyFill="1" applyBorder="1" applyAlignment="1" applyProtection="1">
      <alignment vertical="center"/>
    </xf>
    <xf numFmtId="172" fontId="25" fillId="11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1" borderId="8" xfId="0" applyNumberFormat="1" applyFont="1" applyFill="1" applyBorder="1" applyAlignment="1" applyProtection="1">
      <alignment horizontal="center"/>
    </xf>
    <xf numFmtId="49" fontId="25" fillId="7" borderId="0" xfId="0" applyNumberFormat="1" applyFont="1" applyFill="1" applyBorder="1" applyAlignment="1" applyProtection="1"/>
    <xf numFmtId="172" fontId="25" fillId="7" borderId="10" xfId="35" applyFont="1" applyFill="1" applyBorder="1" applyAlignment="1" applyProtection="1"/>
    <xf numFmtId="172" fontId="23" fillId="11" borderId="7" xfId="35" applyNumberFormat="1" applyFont="1" applyFill="1" applyBorder="1" applyAlignment="1" applyProtection="1">
      <protection locked="0"/>
    </xf>
    <xf numFmtId="172" fontId="23" fillId="16" borderId="7" xfId="35" applyNumberFormat="1" applyFont="1" applyFill="1" applyBorder="1" applyAlignment="1" applyProtection="1"/>
    <xf numFmtId="49" fontId="25" fillId="7" borderId="4" xfId="0" applyNumberFormat="1" applyFont="1" applyFill="1" applyBorder="1" applyAlignment="1" applyProtection="1">
      <alignment horizontal="left"/>
    </xf>
    <xf numFmtId="49" fontId="25" fillId="11" borderId="3" xfId="0" applyNumberFormat="1" applyFont="1" applyFill="1" applyBorder="1" applyAlignment="1" applyProtection="1"/>
    <xf numFmtId="172" fontId="25" fillId="11" borderId="16" xfId="35" applyFont="1" applyFill="1" applyBorder="1" applyAlignment="1" applyProtection="1"/>
    <xf numFmtId="174" fontId="23" fillId="0" borderId="15" xfId="0" applyNumberFormat="1" applyFont="1" applyFill="1" applyBorder="1" applyAlignment="1" applyProtection="1"/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3" fillId="7" borderId="0" xfId="0" applyFont="1" applyFill="1" applyAlignment="1" applyProtection="1"/>
    <xf numFmtId="0" fontId="23" fillId="8" borderId="0" xfId="0" applyFont="1" applyFill="1" applyAlignment="1" applyProtection="1"/>
    <xf numFmtId="0" fontId="25" fillId="11" borderId="0" xfId="0" applyFont="1" applyFill="1" applyAlignment="1" applyProtection="1"/>
    <xf numFmtId="0" fontId="25" fillId="11" borderId="3" xfId="0" applyNumberFormat="1" applyFont="1" applyFill="1" applyBorder="1" applyAlignment="1" applyProtection="1"/>
    <xf numFmtId="0" fontId="25" fillId="11" borderId="10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 vertical="center" wrapText="1"/>
    </xf>
    <xf numFmtId="0" fontId="25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72" fontId="23" fillId="7" borderId="6" xfId="35" applyFont="1" applyFill="1" applyBorder="1" applyAlignment="1" applyProtection="1">
      <alignment vertical="center" wrapText="1"/>
    </xf>
    <xf numFmtId="172" fontId="23" fillId="7" borderId="6" xfId="3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72" fontId="23" fillId="11" borderId="6" xfId="35" applyFont="1" applyFill="1" applyBorder="1" applyAlignment="1" applyProtection="1">
      <alignment vertical="center" wrapText="1"/>
      <protection locked="0"/>
    </xf>
    <xf numFmtId="172" fontId="23" fillId="11" borderId="6" xfId="35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72" fontId="23" fillId="7" borderId="7" xfId="35" applyFont="1" applyFill="1" applyBorder="1" applyAlignment="1" applyProtection="1">
      <alignment vertical="center" wrapText="1"/>
    </xf>
    <xf numFmtId="49" fontId="23" fillId="8" borderId="0" xfId="0" applyNumberFormat="1" applyFont="1" applyFill="1" applyAlignment="1" applyProtection="1">
      <alignment vertical="center"/>
    </xf>
    <xf numFmtId="172" fontId="23" fillId="8" borderId="7" xfId="35" applyFont="1" applyFill="1" applyBorder="1" applyAlignment="1" applyProtection="1">
      <alignment vertical="center" wrapText="1"/>
    </xf>
    <xf numFmtId="172" fontId="23" fillId="8" borderId="6" xfId="35" applyNumberFormat="1" applyFont="1" applyFill="1" applyBorder="1" applyAlignment="1" applyProtection="1">
      <alignment vertical="center" wrapText="1"/>
    </xf>
    <xf numFmtId="172" fontId="23" fillId="11" borderId="7" xfId="35" applyFont="1" applyFill="1" applyBorder="1" applyAlignment="1" applyProtection="1">
      <alignment vertical="center" wrapText="1"/>
      <protection locked="0"/>
    </xf>
    <xf numFmtId="49" fontId="25" fillId="11" borderId="3" xfId="0" applyNumberFormat="1" applyFont="1" applyFill="1" applyBorder="1" applyAlignment="1" applyProtection="1">
      <alignment vertical="center"/>
    </xf>
    <xf numFmtId="172" fontId="23" fillId="11" borderId="12" xfId="35" applyFont="1" applyFill="1" applyBorder="1" applyAlignment="1" applyProtection="1">
      <alignment vertical="center" wrapText="1"/>
    </xf>
    <xf numFmtId="172" fontId="23" fillId="11" borderId="12" xfId="3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1" borderId="2" xfId="0" applyNumberFormat="1" applyFont="1" applyFill="1" applyBorder="1" applyAlignment="1" applyProtection="1">
      <alignment horizontal="justify" vertical="center"/>
    </xf>
    <xf numFmtId="172" fontId="23" fillId="11" borderId="8" xfId="35" applyFont="1" applyFill="1" applyBorder="1" applyAlignment="1" applyProtection="1">
      <alignment vertical="center" wrapText="1"/>
    </xf>
    <xf numFmtId="0" fontId="23" fillId="14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72" fontId="23" fillId="0" borderId="0" xfId="35" applyFont="1" applyFill="1" applyBorder="1" applyAlignment="1" applyProtection="1">
      <alignment horizontal="center" vertical="center"/>
    </xf>
    <xf numFmtId="172" fontId="23" fillId="0" borderId="0" xfId="35" applyFont="1" applyFill="1" applyBorder="1" applyAlignment="1" applyProtection="1">
      <alignment horizontal="center" vertical="center" wrapText="1"/>
    </xf>
    <xf numFmtId="172" fontId="23" fillId="0" borderId="0" xfId="3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1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72" fontId="23" fillId="0" borderId="7" xfId="35" applyFont="1" applyFill="1" applyBorder="1" applyAlignment="1" applyProtection="1">
      <alignment vertical="center" wrapText="1"/>
    </xf>
    <xf numFmtId="172" fontId="23" fillId="0" borderId="11" xfId="3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72" fontId="23" fillId="11" borderId="6" xfId="35" applyNumberFormat="1" applyFont="1" applyFill="1" applyBorder="1" applyAlignment="1" applyProtection="1"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72" fontId="23" fillId="0" borderId="6" xfId="3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72" fontId="23" fillId="11" borderId="9" xfId="35" applyFont="1" applyFill="1" applyBorder="1" applyAlignment="1" applyProtection="1">
      <alignment vertical="center" wrapText="1"/>
      <protection locked="0"/>
    </xf>
    <xf numFmtId="172" fontId="23" fillId="11" borderId="9" xfId="35" applyFont="1" applyFill="1" applyBorder="1" applyAlignment="1" applyProtection="1">
      <protection locked="0"/>
    </xf>
    <xf numFmtId="172" fontId="23" fillId="11" borderId="8" xfId="35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72" fontId="23" fillId="0" borderId="0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25" applyFont="1" applyFill="1"/>
    <xf numFmtId="0" fontId="23" fillId="0" borderId="0" xfId="25" applyFont="1" applyFill="1"/>
    <xf numFmtId="0" fontId="23" fillId="11" borderId="13" xfId="0" applyFont="1" applyFill="1" applyBorder="1" applyAlignment="1" applyProtection="1">
      <alignment vertical="center"/>
    </xf>
    <xf numFmtId="0" fontId="23" fillId="11" borderId="16" xfId="0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 vertical="center" wrapText="1"/>
    </xf>
    <xf numFmtId="0" fontId="23" fillId="11" borderId="2" xfId="0" applyFont="1" applyFill="1" applyBorder="1" applyAlignment="1" applyProtection="1">
      <alignment horizontal="center" vertical="center" wrapText="1"/>
    </xf>
    <xf numFmtId="0" fontId="26" fillId="11" borderId="4" xfId="0" applyFont="1" applyFill="1" applyBorder="1" applyAlignment="1" applyProtection="1">
      <alignment horizontal="center" vertical="center"/>
    </xf>
    <xf numFmtId="0" fontId="23" fillId="11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1" borderId="16" xfId="0" applyFont="1" applyFill="1" applyBorder="1" applyAlignment="1" applyProtection="1">
      <alignment horizontal="center" vertical="center"/>
    </xf>
    <xf numFmtId="0" fontId="23" fillId="11" borderId="3" xfId="0" applyFont="1" applyFill="1" applyBorder="1" applyAlignment="1" applyProtection="1">
      <alignment horizontal="center" vertic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/>
    </xf>
    <xf numFmtId="0" fontId="23" fillId="11" borderId="14" xfId="0" applyFont="1" applyFill="1" applyBorder="1" applyAlignment="1" applyProtection="1">
      <alignment horizontal="center"/>
    </xf>
    <xf numFmtId="0" fontId="23" fillId="11" borderId="13" xfId="0" applyFont="1" applyFill="1" applyBorder="1" applyAlignment="1" applyProtection="1">
      <alignment horizontal="center"/>
    </xf>
    <xf numFmtId="0" fontId="23" fillId="11" borderId="9" xfId="0" applyNumberFormat="1" applyFont="1" applyFill="1" applyBorder="1" applyAlignment="1" applyProtection="1">
      <alignment horizontal="center" vertical="center"/>
    </xf>
    <xf numFmtId="0" fontId="23" fillId="11" borderId="15" xfId="0" applyNumberFormat="1" applyFont="1" applyFill="1" applyBorder="1" applyAlignment="1" applyProtection="1">
      <alignment horizontal="center" vertical="center"/>
    </xf>
    <xf numFmtId="0" fontId="23" fillId="11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right"/>
    </xf>
    <xf numFmtId="0" fontId="23" fillId="17" borderId="11" xfId="0" applyFont="1" applyFill="1" applyBorder="1" applyAlignment="1">
      <alignment vertical="center"/>
    </xf>
    <xf numFmtId="0" fontId="23" fillId="17" borderId="12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75" fontId="23" fillId="16" borderId="11" xfId="0" applyNumberFormat="1" applyFont="1" applyFill="1" applyBorder="1"/>
    <xf numFmtId="0" fontId="25" fillId="0" borderId="7" xfId="0" applyFont="1" applyFill="1" applyBorder="1" applyAlignment="1"/>
    <xf numFmtId="40" fontId="23" fillId="12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4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16" borderId="6" xfId="0" applyNumberFormat="1" applyFont="1" applyFill="1" applyBorder="1" applyAlignment="1">
      <alignment horizontal="right"/>
    </xf>
    <xf numFmtId="40" fontId="25" fillId="12" borderId="6" xfId="0" applyNumberFormat="1" applyFont="1" applyFill="1" applyBorder="1" applyAlignment="1">
      <alignment horizontal="right" vertical="center"/>
    </xf>
    <xf numFmtId="40" fontId="25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16" borderId="7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/>
    </xf>
    <xf numFmtId="0" fontId="25" fillId="17" borderId="12" xfId="0" applyFont="1" applyFill="1" applyBorder="1" applyAlignment="1"/>
    <xf numFmtId="176" fontId="25" fillId="17" borderId="8" xfId="0" applyNumberFormat="1" applyFont="1" applyFill="1" applyBorder="1"/>
    <xf numFmtId="175" fontId="25" fillId="17" borderId="3" xfId="0" applyNumberFormat="1" applyFont="1" applyFill="1" applyBorder="1" applyAlignment="1">
      <alignment horizontal="center"/>
    </xf>
    <xf numFmtId="175" fontId="25" fillId="17" borderId="3" xfId="0" applyNumberFormat="1" applyFont="1" applyFill="1" applyBorder="1"/>
    <xf numFmtId="0" fontId="25" fillId="17" borderId="3" xfId="0" applyFont="1" applyFill="1" applyBorder="1"/>
    <xf numFmtId="0" fontId="25" fillId="17" borderId="2" xfId="0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7" xfId="0" applyNumberFormat="1" applyFont="1" applyFill="1" applyBorder="1" applyAlignment="1">
      <alignment vertical="center"/>
    </xf>
    <xf numFmtId="40" fontId="23" fillId="16" borderId="6" xfId="0" applyNumberFormat="1" applyFont="1" applyFill="1" applyBorder="1" applyAlignment="1">
      <alignment vertical="center"/>
    </xf>
    <xf numFmtId="40" fontId="23" fillId="16" borderId="0" xfId="0" applyNumberFormat="1" applyFont="1" applyFill="1" applyBorder="1" applyAlignment="1">
      <alignment horizontal="center" vertical="center"/>
    </xf>
    <xf numFmtId="40" fontId="23" fillId="16" borderId="11" xfId="0" applyNumberFormat="1" applyFont="1" applyFill="1" applyBorder="1" applyAlignment="1">
      <alignment horizontal="center" vertical="center"/>
    </xf>
    <xf numFmtId="40" fontId="23" fillId="16" borderId="4" xfId="0" applyNumberFormat="1" applyFont="1" applyFill="1" applyBorder="1" applyAlignment="1">
      <alignment horizontal="center" vertical="center"/>
    </xf>
    <xf numFmtId="40" fontId="23" fillId="4" borderId="6" xfId="0" applyNumberFormat="1" applyFont="1" applyFill="1" applyBorder="1" applyAlignment="1" applyProtection="1">
      <alignment vertical="center" wrapText="1"/>
      <protection locked="0"/>
    </xf>
    <xf numFmtId="40" fontId="23" fillId="4" borderId="7" xfId="0" applyNumberFormat="1" applyFont="1" applyFill="1" applyBorder="1" applyAlignment="1" applyProtection="1">
      <alignment vertical="center"/>
      <protection locked="0"/>
    </xf>
    <xf numFmtId="40" fontId="23" fillId="4" borderId="6" xfId="0" applyNumberFormat="1" applyFont="1" applyFill="1" applyBorder="1" applyAlignment="1" applyProtection="1">
      <alignment vertical="center"/>
      <protection locked="0"/>
    </xf>
    <xf numFmtId="40" fontId="23" fillId="4" borderId="0" xfId="0" applyNumberFormat="1" applyFont="1" applyFill="1" applyBorder="1" applyAlignment="1" applyProtection="1">
      <alignment horizontal="right" vertical="center"/>
      <protection locked="0"/>
    </xf>
    <xf numFmtId="40" fontId="23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4" borderId="4" xfId="0" applyNumberFormat="1" applyFont="1" applyFill="1" applyBorder="1" applyAlignment="1" applyProtection="1">
      <alignment horizontal="right" vertical="center"/>
      <protection locked="0"/>
    </xf>
    <xf numFmtId="40" fontId="23" fillId="4" borderId="7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vertical="center" wrapText="1"/>
    </xf>
    <xf numFmtId="40" fontId="23" fillId="12" borderId="6" xfId="0" applyNumberFormat="1" applyFont="1" applyFill="1" applyBorder="1" applyAlignment="1">
      <alignment vertical="center"/>
    </xf>
    <xf numFmtId="40" fontId="23" fillId="18" borderId="6" xfId="0" applyNumberFormat="1" applyFont="1" applyFill="1" applyBorder="1" applyAlignment="1" applyProtection="1">
      <alignment vertical="center"/>
      <protection locked="0"/>
    </xf>
    <xf numFmtId="40" fontId="23" fillId="19" borderId="7" xfId="0" applyNumberFormat="1" applyFont="1" applyFill="1" applyBorder="1" applyAlignment="1" applyProtection="1">
      <alignment horizontal="center" vertical="center"/>
      <protection locked="0"/>
    </xf>
    <xf numFmtId="40" fontId="23" fillId="19" borderId="6" xfId="0" applyNumberFormat="1" applyFont="1" applyFill="1" applyBorder="1" applyAlignment="1" applyProtection="1">
      <alignment horizontal="center" vertical="center"/>
      <protection locked="0"/>
    </xf>
    <xf numFmtId="40" fontId="23" fillId="19" borderId="0" xfId="0" applyNumberFormat="1" applyFont="1" applyFill="1" applyBorder="1" applyAlignment="1" applyProtection="1">
      <alignment horizontal="center" vertical="center"/>
      <protection locked="0"/>
    </xf>
    <xf numFmtId="0" fontId="23" fillId="17" borderId="16" xfId="0" applyFont="1" applyFill="1" applyBorder="1" applyAlignment="1"/>
    <xf numFmtId="40" fontId="23" fillId="12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17" borderId="16" xfId="0" applyFont="1" applyFill="1" applyBorder="1" applyAlignment="1"/>
    <xf numFmtId="0" fontId="25" fillId="0" borderId="0" xfId="0" applyFont="1" applyBorder="1" applyAlignment="1"/>
    <xf numFmtId="175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75" fontId="23" fillId="0" borderId="0" xfId="0" applyNumberFormat="1" applyFont="1" applyBorder="1" applyAlignment="1" applyProtection="1">
      <alignment horizontal="center" vertical="center"/>
      <protection locked="0"/>
    </xf>
    <xf numFmtId="0" fontId="25" fillId="17" borderId="11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17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17" borderId="10" xfId="0" applyFont="1" applyFill="1" applyBorder="1" applyAlignment="1">
      <alignment vertical="center"/>
    </xf>
    <xf numFmtId="0" fontId="25" fillId="17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17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/>
    <xf numFmtId="0" fontId="23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/>
    </xf>
    <xf numFmtId="40" fontId="23" fillId="17" borderId="12" xfId="0" applyNumberFormat="1" applyFont="1" applyFill="1" applyBorder="1" applyAlignment="1" applyProtection="1">
      <alignment vertical="center"/>
      <protection locked="0"/>
    </xf>
    <xf numFmtId="40" fontId="23" fillId="17" borderId="16" xfId="0" applyNumberFormat="1" applyFont="1" applyFill="1" applyBorder="1" applyAlignment="1" applyProtection="1">
      <alignment vertical="center"/>
      <protection locked="0"/>
    </xf>
    <xf numFmtId="178" fontId="23" fillId="17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17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3" fillId="17" borderId="4" xfId="0" applyFont="1" applyFill="1" applyBorder="1" applyAlignment="1">
      <alignment horizont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1" borderId="18" xfId="25" applyFont="1" applyFill="1" applyBorder="1" applyAlignment="1" applyProtection="1">
      <alignment horizontal="center"/>
    </xf>
    <xf numFmtId="0" fontId="25" fillId="11" borderId="8" xfId="25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72" fontId="23" fillId="11" borderId="16" xfId="35" applyFont="1" applyFill="1" applyBorder="1" applyAlignment="1" applyProtection="1"/>
    <xf numFmtId="0" fontId="0" fillId="0" borderId="0" xfId="25" applyFont="1" applyFill="1" applyBorder="1" applyAlignment="1" applyProtection="1"/>
    <xf numFmtId="0" fontId="1" fillId="0" borderId="0" xfId="25" applyFont="1" applyFill="1" applyBorder="1" applyAlignment="1" applyProtection="1"/>
    <xf numFmtId="0" fontId="40" fillId="0" borderId="0" xfId="25" applyFont="1" applyFill="1" applyAlignment="1" applyProtection="1"/>
    <xf numFmtId="0" fontId="41" fillId="0" borderId="0" xfId="25" applyFont="1" applyFill="1" applyAlignment="1" applyProtection="1"/>
    <xf numFmtId="0" fontId="25" fillId="0" borderId="0" xfId="25" applyFont="1" applyFill="1" applyAlignment="1" applyProtection="1"/>
    <xf numFmtId="0" fontId="23" fillId="0" borderId="0" xfId="25" applyFont="1" applyFill="1" applyAlignment="1" applyProtection="1"/>
    <xf numFmtId="0" fontId="32" fillId="0" borderId="0" xfId="25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25" applyFont="1" applyFill="1" applyAlignment="1" applyProtection="1">
      <alignment horizontal="center"/>
    </xf>
    <xf numFmtId="174" fontId="23" fillId="0" borderId="0" xfId="25" applyNumberFormat="1" applyFont="1" applyFill="1" applyAlignment="1" applyProtection="1">
      <alignment horizontal="right"/>
    </xf>
    <xf numFmtId="0" fontId="23" fillId="11" borderId="13" xfId="25" applyFont="1" applyFill="1" applyBorder="1" applyAlignment="1" applyProtection="1"/>
    <xf numFmtId="0" fontId="23" fillId="11" borderId="4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14" xfId="25" applyFont="1" applyFill="1" applyBorder="1" applyAlignment="1" applyProtection="1">
      <alignment horizontal="center"/>
    </xf>
    <xf numFmtId="0" fontId="67" fillId="0" borderId="0" xfId="25"/>
    <xf numFmtId="0" fontId="23" fillId="11" borderId="5" xfId="25" applyFont="1" applyFill="1" applyBorder="1" applyAlignment="1" applyProtection="1"/>
    <xf numFmtId="0" fontId="23" fillId="11" borderId="8" xfId="25" applyFont="1" applyFill="1" applyBorder="1" applyAlignment="1" applyProtection="1">
      <alignment horizontal="center"/>
    </xf>
    <xf numFmtId="0" fontId="23" fillId="11" borderId="15" xfId="25" applyFont="1" applyFill="1" applyBorder="1" applyAlignment="1" applyProtection="1">
      <alignment horizontal="center"/>
    </xf>
    <xf numFmtId="0" fontId="25" fillId="0" borderId="4" xfId="25" applyFont="1" applyFill="1" applyBorder="1" applyAlignment="1" applyProtection="1">
      <alignment horizontal="left" vertical="top" wrapText="1"/>
    </xf>
    <xf numFmtId="0" fontId="1" fillId="0" borderId="0" xfId="25" applyFont="1" applyFill="1"/>
    <xf numFmtId="0" fontId="1" fillId="0" borderId="0" xfId="0" applyFont="1" applyFill="1" applyAlignment="1" applyProtection="1">
      <alignment horizontal="right"/>
    </xf>
    <xf numFmtId="0" fontId="23" fillId="0" borderId="4" xfId="25" applyFont="1" applyBorder="1" applyAlignment="1" applyProtection="1">
      <alignment horizontal="left" vertical="top" wrapText="1"/>
    </xf>
    <xf numFmtId="0" fontId="27" fillId="0" borderId="4" xfId="25" applyFont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/>
    <xf numFmtId="0" fontId="23" fillId="0" borderId="2" xfId="25" applyFont="1" applyBorder="1" applyAlignment="1" applyProtection="1">
      <alignment horizontal="left" vertical="top" wrapText="1"/>
    </xf>
    <xf numFmtId="10" fontId="23" fillId="0" borderId="16" xfId="29" applyNumberFormat="1" applyFont="1" applyFill="1" applyBorder="1" applyAlignment="1" applyProtection="1"/>
    <xf numFmtId="0" fontId="23" fillId="11" borderId="0" xfId="25" applyFont="1" applyFill="1" applyBorder="1" applyAlignment="1" applyProtection="1"/>
    <xf numFmtId="0" fontId="23" fillId="11" borderId="0" xfId="25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wrapText="1"/>
    </xf>
    <xf numFmtId="0" fontId="23" fillId="0" borderId="4" xfId="25" applyFont="1" applyBorder="1" applyAlignment="1" applyProtection="1">
      <alignment horizontal="justify" vertical="top" wrapText="1"/>
    </xf>
    <xf numFmtId="0" fontId="27" fillId="0" borderId="4" xfId="25" applyFont="1" applyBorder="1" applyAlignment="1" applyProtection="1">
      <alignment horizontal="justify" vertical="top" wrapText="1"/>
    </xf>
    <xf numFmtId="0" fontId="23" fillId="11" borderId="6" xfId="25" applyFont="1" applyFill="1" applyBorder="1" applyAlignment="1" applyProtection="1">
      <alignment horizontal="center"/>
    </xf>
    <xf numFmtId="0" fontId="23" fillId="11" borderId="4" xfId="25" applyFont="1" applyFill="1" applyBorder="1" applyAlignment="1" applyProtection="1"/>
    <xf numFmtId="0" fontId="23" fillId="0" borderId="13" xfId="25" applyFont="1" applyBorder="1" applyAlignment="1" applyProtection="1">
      <alignment horizontal="left" vertical="top" wrapText="1"/>
    </xf>
    <xf numFmtId="10" fontId="23" fillId="0" borderId="10" xfId="29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6" applyFont="1" applyFill="1" applyBorder="1" applyAlignment="1" applyProtection="1"/>
    <xf numFmtId="0" fontId="23" fillId="0" borderId="0" xfId="26" applyFont="1" applyFill="1" applyBorder="1" applyAlignment="1" applyProtection="1">
      <alignment vertical="center"/>
    </xf>
    <xf numFmtId="0" fontId="23" fillId="0" borderId="0" xfId="26" applyFont="1" applyFill="1" applyBorder="1" applyAlignment="1" applyProtection="1">
      <alignment horizontal="center" wrapText="1"/>
    </xf>
    <xf numFmtId="0" fontId="23" fillId="0" borderId="0" xfId="26" applyFont="1" applyFill="1" applyBorder="1" applyAlignment="1" applyProtection="1">
      <alignment horizontal="center"/>
    </xf>
    <xf numFmtId="0" fontId="23" fillId="11" borderId="9" xfId="26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1" xfId="35" applyFont="1" applyFill="1" applyBorder="1" applyAlignment="1" applyProtection="1">
      <alignment horizontal="left" vertical="top" wrapText="1"/>
    </xf>
    <xf numFmtId="10" fontId="23" fillId="0" borderId="14" xfId="29" applyNumberFormat="1" applyFont="1" applyFill="1" applyBorder="1" applyAlignment="1" applyProtection="1"/>
    <xf numFmtId="172" fontId="23" fillId="0" borderId="10" xfId="35" applyFont="1" applyFill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left" vertical="top" wrapText="1"/>
    </xf>
    <xf numFmtId="172" fontId="23" fillId="11" borderId="6" xfId="35" applyNumberFormat="1" applyFont="1" applyFill="1" applyBorder="1" applyAlignment="1" applyProtection="1">
      <alignment horizontal="left" vertical="top" wrapText="1"/>
      <protection locked="0"/>
    </xf>
    <xf numFmtId="10" fontId="23" fillId="0" borderId="0" xfId="29" applyNumberFormat="1" applyFont="1" applyFill="1" applyBorder="1" applyAlignment="1" applyProtection="1"/>
    <xf numFmtId="172" fontId="23" fillId="11" borderId="7" xfId="35" applyFont="1" applyFill="1" applyBorder="1" applyAlignment="1" applyProtection="1">
      <alignment horizontal="left" vertical="top" wrapText="1"/>
      <protection locked="0"/>
    </xf>
    <xf numFmtId="172" fontId="23" fillId="0" borderId="6" xfId="35" applyFont="1" applyFill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left" vertical="top" wrapText="1"/>
    </xf>
    <xf numFmtId="0" fontId="23" fillId="0" borderId="15" xfId="25" applyFont="1" applyBorder="1" applyAlignment="1" applyProtection="1">
      <alignment horizontal="left" vertical="top" wrapText="1"/>
    </xf>
    <xf numFmtId="172" fontId="23" fillId="11" borderId="8" xfId="3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29" applyNumberFormat="1" applyFont="1" applyFill="1" applyBorder="1" applyAlignment="1" applyProtection="1"/>
    <xf numFmtId="172" fontId="23" fillId="11" borderId="9" xfId="35" applyFont="1" applyFill="1" applyBorder="1" applyAlignment="1" applyProtection="1">
      <alignment horizontal="left" vertical="top" wrapText="1"/>
      <protection locked="0"/>
    </xf>
    <xf numFmtId="0" fontId="23" fillId="0" borderId="5" xfId="25" applyFont="1" applyBorder="1" applyAlignment="1" applyProtection="1">
      <alignment horizontal="left" vertical="top" wrapText="1"/>
    </xf>
    <xf numFmtId="172" fontId="23" fillId="0" borderId="8" xfId="25" applyNumberFormat="1" applyFont="1" applyBorder="1" applyAlignment="1" applyProtection="1">
      <alignment horizontal="left" vertical="top" wrapText="1"/>
    </xf>
    <xf numFmtId="172" fontId="23" fillId="0" borderId="9" xfId="25" applyNumberFormat="1" applyFont="1" applyBorder="1" applyAlignment="1" applyProtection="1">
      <alignment horizontal="left" vertical="top" wrapText="1"/>
    </xf>
    <xf numFmtId="0" fontId="23" fillId="0" borderId="0" xfId="25" applyFont="1" applyFill="1" applyAlignment="1" applyProtection="1">
      <alignment vertical="center"/>
    </xf>
    <xf numFmtId="0" fontId="32" fillId="0" borderId="0" xfId="25" applyFont="1" applyFill="1" applyAlignment="1" applyProtection="1">
      <alignment vertical="center"/>
    </xf>
    <xf numFmtId="0" fontId="23" fillId="0" borderId="14" xfId="25" applyFont="1" applyBorder="1" applyAlignment="1" applyProtection="1">
      <alignment vertical="top" wrapText="1"/>
    </xf>
    <xf numFmtId="0" fontId="23" fillId="0" borderId="13" xfId="25" applyFont="1" applyBorder="1" applyAlignment="1" applyProtection="1">
      <alignment vertical="top" wrapText="1"/>
    </xf>
    <xf numFmtId="0" fontId="23" fillId="0" borderId="0" xfId="25" applyFont="1" applyBorder="1" applyAlignment="1" applyProtection="1">
      <alignment vertical="top" wrapText="1"/>
    </xf>
    <xf numFmtId="0" fontId="23" fillId="0" borderId="4" xfId="25" applyFont="1" applyBorder="1" applyAlignment="1" applyProtection="1">
      <alignment vertical="top" wrapText="1"/>
    </xf>
    <xf numFmtId="0" fontId="23" fillId="0" borderId="15" xfId="25" applyFont="1" applyBorder="1" applyAlignment="1" applyProtection="1">
      <alignment vertical="top" wrapText="1"/>
    </xf>
    <xf numFmtId="0" fontId="23" fillId="0" borderId="5" xfId="25" applyFont="1" applyBorder="1" applyAlignment="1" applyProtection="1">
      <alignment vertical="top" wrapText="1"/>
    </xf>
    <xf numFmtId="0" fontId="23" fillId="0" borderId="3" xfId="25" applyFont="1" applyBorder="1" applyAlignment="1" applyProtection="1">
      <alignment vertical="top" wrapText="1"/>
    </xf>
    <xf numFmtId="0" fontId="23" fillId="0" borderId="2" xfId="25" applyFont="1" applyBorder="1" applyAlignment="1" applyProtection="1">
      <alignment vertical="top" wrapText="1"/>
    </xf>
    <xf numFmtId="0" fontId="23" fillId="0" borderId="0" xfId="25" applyFont="1" applyFill="1" applyBorder="1" applyAlignment="1" applyProtection="1">
      <alignment vertical="top"/>
    </xf>
    <xf numFmtId="0" fontId="23" fillId="0" borderId="4" xfId="25" applyFont="1" applyFill="1" applyBorder="1" applyAlignment="1" applyProtection="1">
      <alignment vertical="top"/>
    </xf>
    <xf numFmtId="0" fontId="23" fillId="0" borderId="0" xfId="25" applyFont="1" applyBorder="1" applyAlignment="1" applyProtection="1">
      <alignment vertical="top"/>
    </xf>
    <xf numFmtId="0" fontId="23" fillId="0" borderId="4" xfId="25" applyFont="1" applyBorder="1" applyAlignment="1" applyProtection="1">
      <alignment vertical="top"/>
    </xf>
    <xf numFmtId="0" fontId="23" fillId="0" borderId="0" xfId="25" applyFont="1" applyFill="1" applyAlignment="1" applyProtection="1">
      <alignment horizontal="center" vertical="center"/>
    </xf>
    <xf numFmtId="0" fontId="32" fillId="0" borderId="0" xfId="25" applyFont="1" applyFill="1" applyAlignment="1" applyProtection="1">
      <alignment horizontal="center" vertical="center"/>
    </xf>
    <xf numFmtId="172" fontId="23" fillId="0" borderId="11" xfId="25" applyNumberFormat="1" applyFont="1" applyFill="1" applyBorder="1" applyAlignment="1" applyProtection="1">
      <alignment horizontal="left" vertical="top" wrapText="1"/>
    </xf>
    <xf numFmtId="172" fontId="23" fillId="0" borderId="10" xfId="25" applyNumberFormat="1" applyFont="1" applyFill="1" applyBorder="1" applyAlignment="1" applyProtection="1">
      <alignment horizontal="left" vertical="top" wrapText="1"/>
    </xf>
    <xf numFmtId="10" fontId="23" fillId="0" borderId="11" xfId="29" applyNumberFormat="1" applyFont="1" applyFill="1" applyBorder="1" applyAlignment="1" applyProtection="1"/>
    <xf numFmtId="172" fontId="23" fillId="0" borderId="13" xfId="25" applyNumberFormat="1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>
      <alignment horizontal="left" vertical="top" wrapText="1"/>
    </xf>
    <xf numFmtId="172" fontId="23" fillId="11" borderId="6" xfId="35" applyFont="1" applyFill="1" applyBorder="1" applyAlignment="1" applyProtection="1">
      <alignment horizontal="left" vertical="top" wrapText="1"/>
      <protection locked="0"/>
    </xf>
    <xf numFmtId="172" fontId="23" fillId="11" borderId="4" xfId="35" applyFont="1" applyFill="1" applyBorder="1" applyAlignment="1" applyProtection="1">
      <alignment horizontal="left" vertical="top" wrapText="1"/>
      <protection locked="0"/>
    </xf>
    <xf numFmtId="10" fontId="23" fillId="0" borderId="8" xfId="29" applyNumberFormat="1" applyFont="1" applyFill="1" applyBorder="1" applyAlignment="1" applyProtection="1"/>
    <xf numFmtId="172" fontId="23" fillId="0" borderId="2" xfId="25" applyNumberFormat="1" applyFont="1" applyFill="1" applyBorder="1" applyAlignment="1" applyProtection="1">
      <alignment horizontal="left" vertical="top" wrapText="1"/>
    </xf>
    <xf numFmtId="10" fontId="23" fillId="0" borderId="12" xfId="29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>
      <alignment horizontal="left" vertical="top" wrapText="1"/>
    </xf>
    <xf numFmtId="0" fontId="23" fillId="0" borderId="1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 wrapText="1"/>
    </xf>
    <xf numFmtId="0" fontId="23" fillId="0" borderId="0" xfId="25" applyFont="1" applyBorder="1" applyAlignment="1" applyProtection="1">
      <alignment vertical="center" wrapText="1"/>
    </xf>
    <xf numFmtId="0" fontId="23" fillId="0" borderId="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/>
    </xf>
    <xf numFmtId="0" fontId="23" fillId="0" borderId="0" xfId="25" applyFont="1" applyFill="1" applyAlignment="1" applyProtection="1">
      <alignment horizontal="left" vertical="center"/>
    </xf>
    <xf numFmtId="0" fontId="32" fillId="0" borderId="0" xfId="25" applyFont="1" applyFill="1" applyAlignment="1" applyProtection="1">
      <alignment horizontal="left" vertical="center"/>
    </xf>
    <xf numFmtId="172" fontId="23" fillId="11" borderId="6" xfId="35" applyFont="1" applyFill="1" applyBorder="1" applyAlignment="1" applyProtection="1">
      <alignment vertical="center"/>
      <protection locked="0"/>
    </xf>
    <xf numFmtId="172" fontId="23" fillId="11" borderId="6" xfId="35" applyFont="1" applyFill="1" applyBorder="1" applyAlignment="1" applyProtection="1">
      <alignment horizontal="left" vertical="center" wrapText="1"/>
      <protection locked="0"/>
    </xf>
    <xf numFmtId="172" fontId="23" fillId="11" borderId="10" xfId="35" applyFont="1" applyFill="1" applyBorder="1" applyAlignment="1" applyProtection="1">
      <alignment vertical="center"/>
      <protection locked="0"/>
    </xf>
    <xf numFmtId="0" fontId="23" fillId="0" borderId="0" xfId="25" applyFont="1" applyBorder="1" applyAlignment="1" applyProtection="1">
      <alignment horizontal="left" wrapText="1"/>
    </xf>
    <xf numFmtId="0" fontId="23" fillId="0" borderId="5" xfId="25" applyFont="1" applyBorder="1" applyAlignment="1" applyProtection="1">
      <alignment horizontal="left" wrapText="1"/>
    </xf>
    <xf numFmtId="172" fontId="23" fillId="0" borderId="12" xfId="35" applyFont="1" applyFill="1" applyBorder="1" applyAlignment="1" applyProtection="1">
      <alignment vertical="center"/>
    </xf>
    <xf numFmtId="10" fontId="23" fillId="0" borderId="12" xfId="29" applyNumberFormat="1" applyFont="1" applyFill="1" applyBorder="1" applyAlignment="1" applyProtection="1">
      <alignment vertical="center"/>
    </xf>
    <xf numFmtId="172" fontId="23" fillId="0" borderId="16" xfId="35" applyFont="1" applyFill="1" applyBorder="1" applyAlignment="1" applyProtection="1">
      <alignment vertical="center"/>
    </xf>
    <xf numFmtId="172" fontId="23" fillId="0" borderId="2" xfId="25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/>
    <xf numFmtId="0" fontId="0" fillId="0" borderId="0" xfId="25" applyFont="1" applyFill="1" applyProtection="1"/>
    <xf numFmtId="49" fontId="23" fillId="0" borderId="0" xfId="25" applyNumberFormat="1" applyFont="1" applyFill="1" applyAlignment="1" applyProtection="1"/>
    <xf numFmtId="49" fontId="23" fillId="0" borderId="0" xfId="25" applyNumberFormat="1" applyFont="1" applyFill="1" applyBorder="1" applyAlignment="1" applyProtection="1"/>
    <xf numFmtId="0" fontId="0" fillId="0" borderId="0" xfId="25" applyFont="1" applyFill="1" applyBorder="1" applyProtection="1"/>
    <xf numFmtId="0" fontId="0" fillId="0" borderId="15" xfId="25" applyFont="1" applyFill="1" applyBorder="1" applyProtection="1"/>
    <xf numFmtId="0" fontId="23" fillId="0" borderId="15" xfId="25" applyFont="1" applyFill="1" applyBorder="1" applyAlignment="1" applyProtection="1">
      <alignment horizontal="right"/>
    </xf>
    <xf numFmtId="0" fontId="25" fillId="0" borderId="0" xfId="25" applyFont="1" applyFill="1" applyBorder="1" applyAlignment="1" applyProtection="1">
      <alignment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3" xfId="25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wrapText="1"/>
    </xf>
    <xf numFmtId="0" fontId="23" fillId="11" borderId="4" xfId="25" applyFont="1" applyFill="1" applyBorder="1" applyAlignment="1" applyProtection="1">
      <alignment horizontal="center" vertical="center" wrapText="1"/>
      <protection locked="0"/>
    </xf>
    <xf numFmtId="0" fontId="50" fillId="0" borderId="0" xfId="25" applyFont="1" applyFill="1" applyBorder="1" applyAlignment="1" applyProtection="1"/>
    <xf numFmtId="0" fontId="23" fillId="11" borderId="5" xfId="25" applyFont="1" applyFill="1" applyBorder="1" applyAlignment="1" applyProtection="1">
      <alignment vertical="center" wrapText="1"/>
    </xf>
    <xf numFmtId="0" fontId="23" fillId="11" borderId="8" xfId="25" applyFont="1" applyFill="1" applyBorder="1" applyAlignment="1" applyProtection="1">
      <alignment horizontal="center" wrapText="1"/>
    </xf>
    <xf numFmtId="0" fontId="23" fillId="0" borderId="4" xfId="25" applyFont="1" applyFill="1" applyBorder="1" applyAlignment="1" applyProtection="1">
      <alignment horizontal="left" wrapText="1"/>
    </xf>
    <xf numFmtId="172" fontId="23" fillId="0" borderId="6" xfId="25" applyNumberFormat="1" applyFont="1" applyFill="1" applyBorder="1" applyAlignment="1" applyProtection="1"/>
    <xf numFmtId="172" fontId="23" fillId="0" borderId="10" xfId="25" applyNumberFormat="1" applyFont="1" applyFill="1" applyBorder="1" applyAlignment="1" applyProtection="1"/>
    <xf numFmtId="0" fontId="23" fillId="0" borderId="4" xfId="25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/>
    <xf numFmtId="172" fontId="0" fillId="11" borderId="7" xfId="35" applyFont="1" applyFill="1" applyBorder="1" applyAlignment="1" applyProtection="1">
      <protection locked="0"/>
    </xf>
    <xf numFmtId="172" fontId="0" fillId="11" borderId="0" xfId="35" applyFont="1" applyFill="1" applyBorder="1" applyAlignment="1" applyProtection="1">
      <protection locked="0"/>
    </xf>
    <xf numFmtId="172" fontId="0" fillId="11" borderId="9" xfId="35" applyFont="1" applyFill="1" applyBorder="1" applyAlignment="1" applyProtection="1"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2" xfId="25" applyNumberFormat="1" applyFont="1" applyFill="1" applyBorder="1" applyProtection="1"/>
    <xf numFmtId="172" fontId="0" fillId="0" borderId="16" xfId="25" applyNumberFormat="1" applyFont="1" applyFill="1" applyBorder="1" applyProtection="1"/>
    <xf numFmtId="0" fontId="51" fillId="0" borderId="0" xfId="25" applyFont="1" applyFill="1" applyProtection="1"/>
    <xf numFmtId="0" fontId="0" fillId="0" borderId="0" xfId="25" applyFont="1" applyFill="1" applyAlignment="1" applyProtection="1">
      <alignment horizontal="left"/>
    </xf>
    <xf numFmtId="0" fontId="40" fillId="0" borderId="0" xfId="25" applyFont="1" applyBorder="1" applyAlignment="1" applyProtection="1">
      <alignment wrapText="1"/>
    </xf>
    <xf numFmtId="0" fontId="40" fillId="0" borderId="0" xfId="25" applyFont="1" applyFill="1" applyBorder="1" applyAlignment="1" applyProtection="1"/>
    <xf numFmtId="0" fontId="23" fillId="0" borderId="0" xfId="25" applyFont="1" applyBorder="1" applyAlignment="1" applyProtection="1">
      <alignment horizontal="right" vertical="top" wrapText="1"/>
    </xf>
    <xf numFmtId="0" fontId="23" fillId="0" borderId="0" xfId="25" applyFont="1" applyAlignment="1" applyProtection="1">
      <alignment wrapText="1"/>
    </xf>
    <xf numFmtId="0" fontId="23" fillId="0" borderId="0" xfId="25" applyFont="1" applyAlignment="1" applyProtection="1">
      <alignment horizontal="right" vertical="top" wrapText="1"/>
    </xf>
    <xf numFmtId="174" fontId="23" fillId="0" borderId="0" xfId="25" applyNumberFormat="1" applyFont="1" applyBorder="1" applyAlignment="1" applyProtection="1">
      <alignment horizontal="right" vertical="top" wrapText="1"/>
    </xf>
    <xf numFmtId="0" fontId="25" fillId="11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1" borderId="7" xfId="25" applyFont="1" applyFill="1" applyBorder="1" applyAlignment="1" applyProtection="1">
      <alignment horizontal="center" vertical="top" wrapText="1"/>
    </xf>
    <xf numFmtId="0" fontId="23" fillId="0" borderId="12" xfId="25" applyFont="1" applyBorder="1" applyAlignment="1" applyProtection="1">
      <alignment horizontal="left" wrapText="1"/>
    </xf>
    <xf numFmtId="172" fontId="23" fillId="0" borderId="16" xfId="35" applyFont="1" applyFill="1" applyBorder="1" applyAlignment="1" applyProtection="1">
      <alignment horizontal="right" vertical="top" wrapText="1"/>
    </xf>
    <xf numFmtId="0" fontId="25" fillId="11" borderId="9" xfId="25" applyFont="1" applyFill="1" applyBorder="1" applyAlignment="1" applyProtection="1">
      <alignment horizontal="center" vertical="top" wrapText="1"/>
    </xf>
    <xf numFmtId="0" fontId="23" fillId="0" borderId="11" xfId="25" applyFont="1" applyBorder="1" applyAlignment="1" applyProtection="1">
      <alignment horizontal="left" wrapText="1"/>
    </xf>
    <xf numFmtId="172" fontId="23" fillId="0" borderId="10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left" wrapText="1"/>
    </xf>
    <xf numFmtId="172" fontId="23" fillId="0" borderId="7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justify" wrapText="1"/>
    </xf>
    <xf numFmtId="172" fontId="23" fillId="0" borderId="7" xfId="35" applyFont="1" applyFill="1" applyBorder="1" applyAlignment="1" applyProtection="1">
      <alignment horizontal="right" vertical="center" wrapText="1"/>
    </xf>
    <xf numFmtId="0" fontId="26" fillId="11" borderId="11" xfId="25" applyFont="1" applyFill="1" applyBorder="1" applyAlignment="1" applyProtection="1">
      <alignment horizontal="left" wrapText="1"/>
    </xf>
    <xf numFmtId="0" fontId="26" fillId="11" borderId="8" xfId="25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74" fontId="15" fillId="0" borderId="15" xfId="0" applyNumberFormat="1" applyFont="1" applyFill="1" applyBorder="1" applyAlignment="1" applyProtection="1">
      <alignment horizontal="right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/>
    <xf numFmtId="172" fontId="15" fillId="0" borderId="11" xfId="35" applyFont="1" applyFill="1" applyBorder="1" applyAlignment="1" applyProtection="1">
      <alignment horizontal="center"/>
    </xf>
    <xf numFmtId="172" fontId="15" fillId="11" borderId="11" xfId="35" applyFont="1" applyFill="1" applyBorder="1" applyAlignment="1" applyProtection="1"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0" borderId="6" xfId="35" applyFont="1" applyFill="1" applyBorder="1" applyAlignment="1" applyProtection="1"/>
    <xf numFmtId="172" fontId="15" fillId="11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15" fillId="0" borderId="0" xfId="25" applyFont="1" applyFill="1" applyAlignment="1" applyProtection="1"/>
    <xf numFmtId="0" fontId="15" fillId="0" borderId="0" xfId="25" applyFont="1" applyFill="1" applyBorder="1" applyAlignment="1" applyProtection="1"/>
    <xf numFmtId="0" fontId="24" fillId="0" borderId="0" xfId="25" applyNumberFormat="1" applyFont="1" applyFill="1" applyAlignment="1" applyProtection="1"/>
    <xf numFmtId="0" fontId="15" fillId="0" borderId="0" xfId="25" applyFont="1" applyFill="1" applyAlignment="1" applyProtection="1">
      <alignment horizontal="left"/>
    </xf>
    <xf numFmtId="0" fontId="37" fillId="0" borderId="0" xfId="25" applyFont="1" applyFill="1" applyAlignment="1" applyProtection="1">
      <alignment horizontal="left"/>
    </xf>
    <xf numFmtId="0" fontId="15" fillId="0" borderId="0" xfId="25" applyFont="1" applyFill="1" applyProtection="1"/>
    <xf numFmtId="174" fontId="15" fillId="0" borderId="0" xfId="25" applyNumberFormat="1" applyFont="1" applyFill="1" applyAlignment="1" applyProtection="1">
      <alignment horizontal="right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0" fontId="15" fillId="0" borderId="13" xfId="25" applyFont="1" applyFill="1" applyBorder="1" applyAlignment="1" applyProtection="1"/>
    <xf numFmtId="0" fontId="15" fillId="0" borderId="4" xfId="25" applyFont="1" applyFill="1" applyBorder="1" applyAlignment="1" applyProtection="1"/>
    <xf numFmtId="172" fontId="15" fillId="11" borderId="7" xfId="35" applyFont="1" applyFill="1" applyBorder="1" applyAlignment="1" applyProtection="1">
      <protection locked="0"/>
    </xf>
    <xf numFmtId="0" fontId="15" fillId="0" borderId="3" xfId="25" applyFont="1" applyFill="1" applyBorder="1" applyAlignment="1" applyProtection="1">
      <alignment horizontal="left" indent="1"/>
    </xf>
    <xf numFmtId="37" fontId="15" fillId="0" borderId="3" xfId="25" applyNumberFormat="1" applyFont="1" applyFill="1" applyBorder="1" applyAlignment="1" applyProtection="1">
      <alignment horizontal="center"/>
    </xf>
    <xf numFmtId="0" fontId="37" fillId="11" borderId="13" xfId="25" applyFont="1" applyFill="1" applyBorder="1" applyAlignment="1" applyProtection="1">
      <alignment horizontal="center" vertical="center" wrapText="1"/>
    </xf>
    <xf numFmtId="37" fontId="37" fillId="11" borderId="10" xfId="25" applyNumberFormat="1" applyFont="1" applyFill="1" applyBorder="1" applyAlignment="1" applyProtection="1">
      <alignment horizontal="center"/>
    </xf>
    <xf numFmtId="0" fontId="37" fillId="11" borderId="11" xfId="25" applyFont="1" applyFill="1" applyBorder="1" applyAlignment="1" applyProtection="1">
      <alignment horizontal="center" vertical="top" wrapText="1"/>
    </xf>
    <xf numFmtId="37" fontId="37" fillId="11" borderId="11" xfId="25" applyNumberFormat="1" applyFont="1" applyFill="1" applyBorder="1" applyAlignment="1" applyProtection="1">
      <alignment horizontal="center"/>
    </xf>
    <xf numFmtId="37" fontId="37" fillId="11" borderId="11" xfId="25" applyNumberFormat="1" applyFont="1" applyFill="1" applyBorder="1" applyAlignment="1" applyProtection="1">
      <alignment horizontal="center" vertical="top" wrapText="1"/>
    </xf>
    <xf numFmtId="37" fontId="37" fillId="11" borderId="13" xfId="25" applyNumberFormat="1" applyFont="1" applyFill="1" applyBorder="1" applyAlignment="1" applyProtection="1">
      <alignment horizontal="center"/>
    </xf>
    <xf numFmtId="0" fontId="37" fillId="11" borderId="10" xfId="25" applyFont="1" applyFill="1" applyBorder="1" applyAlignment="1" applyProtection="1">
      <alignment horizontal="center"/>
    </xf>
    <xf numFmtId="0" fontId="37" fillId="11" borderId="4" xfId="25" applyFont="1" applyFill="1" applyBorder="1" applyAlignment="1" applyProtection="1">
      <alignment horizontal="center" vertical="center" wrapText="1"/>
    </xf>
    <xf numFmtId="37" fontId="37" fillId="11" borderId="7" xfId="25" applyNumberFormat="1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 vertical="top" wrapText="1"/>
    </xf>
    <xf numFmtId="37" fontId="37" fillId="11" borderId="6" xfId="25" applyNumberFormat="1" applyFont="1" applyFill="1" applyBorder="1" applyAlignment="1" applyProtection="1">
      <alignment horizontal="center"/>
    </xf>
    <xf numFmtId="37" fontId="37" fillId="11" borderId="6" xfId="25" applyNumberFormat="1" applyFont="1" applyFill="1" applyBorder="1" applyAlignment="1" applyProtection="1">
      <alignment horizontal="center" vertical="top" wrapText="1"/>
    </xf>
    <xf numFmtId="37" fontId="37" fillId="11" borderId="0" xfId="25" applyNumberFormat="1" applyFont="1" applyFill="1" applyBorder="1" applyAlignment="1" applyProtection="1">
      <alignment horizontal="center"/>
    </xf>
    <xf numFmtId="0" fontId="37" fillId="11" borderId="7" xfId="25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/>
    </xf>
    <xf numFmtId="49" fontId="54" fillId="11" borderId="0" xfId="25" applyNumberFormat="1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 vertical="top"/>
    </xf>
    <xf numFmtId="0" fontId="0" fillId="11" borderId="6" xfId="0" applyFont="1" applyFill="1" applyBorder="1" applyAlignment="1" applyProtection="1">
      <alignment vertical="top" wrapText="1"/>
    </xf>
    <xf numFmtId="37" fontId="37" fillId="11" borderId="4" xfId="25" applyNumberFormat="1" applyFont="1" applyFill="1" applyBorder="1" applyAlignment="1" applyProtection="1">
      <alignment horizontal="center"/>
    </xf>
    <xf numFmtId="0" fontId="37" fillId="11" borderId="5" xfId="25" applyFont="1" applyFill="1" applyBorder="1" applyAlignment="1" applyProtection="1">
      <alignment horizontal="center" vertical="center" wrapText="1"/>
    </xf>
    <xf numFmtId="37" fontId="37" fillId="11" borderId="9" xfId="25" applyNumberFormat="1" applyFont="1" applyFill="1" applyBorder="1" applyAlignment="1" applyProtection="1">
      <alignment horizontal="center"/>
    </xf>
    <xf numFmtId="0" fontId="37" fillId="11" borderId="9" xfId="25" applyFont="1" applyFill="1" applyBorder="1" applyAlignment="1" applyProtection="1">
      <alignment horizontal="center"/>
    </xf>
    <xf numFmtId="37" fontId="37" fillId="11" borderId="8" xfId="25" applyNumberFormat="1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>
      <alignment horizontal="left" vertical="center" wrapText="1"/>
    </xf>
    <xf numFmtId="172" fontId="15" fillId="0" borderId="7" xfId="35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/>
    <xf numFmtId="172" fontId="15" fillId="0" borderId="7" xfId="35" applyFont="1" applyFill="1" applyBorder="1" applyAlignment="1" applyProtection="1"/>
    <xf numFmtId="49" fontId="15" fillId="0" borderId="3" xfId="25" applyNumberFormat="1" applyFont="1" applyFill="1" applyBorder="1" applyAlignment="1" applyProtection="1">
      <alignment horizontal="left" indent="1"/>
    </xf>
    <xf numFmtId="37" fontId="15" fillId="0" borderId="14" xfId="25" applyNumberFormat="1" applyFont="1" applyFill="1" applyBorder="1" applyAlignment="1" applyProtection="1"/>
    <xf numFmtId="37" fontId="15" fillId="0" borderId="3" xfId="25" applyNumberFormat="1" applyFont="1" applyFill="1" applyBorder="1" applyAlignment="1" applyProtection="1"/>
    <xf numFmtId="0" fontId="37" fillId="11" borderId="11" xfId="25" applyNumberFormat="1" applyFont="1" applyFill="1" applyBorder="1" applyAlignment="1" applyProtection="1">
      <alignment horizontal="center"/>
    </xf>
    <xf numFmtId="37" fontId="37" fillId="11" borderId="15" xfId="25" applyNumberFormat="1" applyFont="1" applyFill="1" applyBorder="1" applyAlignment="1" applyProtection="1">
      <alignment horizontal="center"/>
    </xf>
    <xf numFmtId="49" fontId="15" fillId="0" borderId="5" xfId="25" applyNumberFormat="1" applyFont="1" applyFill="1" applyBorder="1" applyAlignment="1" applyProtection="1"/>
    <xf numFmtId="172" fontId="15" fillId="0" borderId="8" xfId="35" applyFont="1" applyFill="1" applyBorder="1" applyAlignment="1" applyProtection="1"/>
    <xf numFmtId="0" fontId="0" fillId="0" borderId="0" xfId="0" applyFont="1" applyFill="1" applyProtection="1"/>
    <xf numFmtId="0" fontId="55" fillId="0" borderId="0" xfId="0" applyNumberFormat="1" applyFont="1" applyFill="1" applyAlignment="1" applyProtection="1"/>
    <xf numFmtId="0" fontId="56" fillId="0" borderId="0" xfId="0" applyFont="1" applyFill="1" applyAlignment="1" applyProtection="1">
      <alignment horizontal="center"/>
    </xf>
    <xf numFmtId="0" fontId="57" fillId="0" borderId="0" xfId="0" applyFont="1" applyProtection="1"/>
    <xf numFmtId="0" fontId="56" fillId="0" borderId="0" xfId="0" applyFont="1" applyFill="1" applyAlignment="1" applyProtection="1"/>
    <xf numFmtId="0" fontId="0" fillId="0" borderId="0" xfId="0" applyFont="1" applyFill="1" applyAlignment="1" applyProtection="1">
      <alignment horizontal="right" vertical="center"/>
    </xf>
    <xf numFmtId="174" fontId="58" fillId="0" borderId="0" xfId="0" applyNumberFormat="1" applyFont="1" applyFill="1" applyAlignment="1" applyProtection="1">
      <alignment horizontal="right"/>
    </xf>
    <xf numFmtId="0" fontId="56" fillId="11" borderId="14" xfId="0" applyFont="1" applyFill="1" applyBorder="1" applyAlignment="1" applyProtection="1"/>
    <xf numFmtId="0" fontId="60" fillId="11" borderId="0" xfId="0" applyFont="1" applyFill="1" applyBorder="1" applyAlignment="1" applyProtection="1">
      <alignment horizontal="center"/>
    </xf>
    <xf numFmtId="0" fontId="58" fillId="11" borderId="11" xfId="0" applyFont="1" applyFill="1" applyBorder="1" applyAlignment="1" applyProtection="1">
      <alignment horizontal="center"/>
    </xf>
    <xf numFmtId="0" fontId="56" fillId="11" borderId="15" xfId="0" applyFont="1" applyFill="1" applyBorder="1" applyAlignment="1" applyProtection="1"/>
    <xf numFmtId="0" fontId="58" fillId="11" borderId="9" xfId="0" applyFont="1" applyFill="1" applyBorder="1" applyAlignment="1" applyProtection="1">
      <alignment horizontal="center"/>
    </xf>
    <xf numFmtId="0" fontId="56" fillId="0" borderId="14" xfId="0" applyFont="1" applyFill="1" applyBorder="1" applyAlignment="1" applyProtection="1">
      <alignment wrapText="1"/>
    </xf>
    <xf numFmtId="172" fontId="56" fillId="0" borderId="6" xfId="35" applyFont="1" applyFill="1" applyBorder="1" applyAlignment="1" applyProtection="1"/>
    <xf numFmtId="0" fontId="56" fillId="10" borderId="0" xfId="0" applyFont="1" applyFill="1" applyAlignment="1" applyProtection="1">
      <alignment wrapText="1"/>
    </xf>
    <xf numFmtId="172" fontId="56" fillId="11" borderId="6" xfId="35" applyFont="1" applyFill="1" applyBorder="1" applyAlignment="1" applyProtection="1">
      <alignment wrapText="1"/>
      <protection locked="0"/>
    </xf>
    <xf numFmtId="172" fontId="56" fillId="11" borderId="7" xfId="35" applyFont="1" applyFill="1" applyBorder="1" applyAlignment="1" applyProtection="1">
      <protection locked="0"/>
    </xf>
    <xf numFmtId="172" fontId="56" fillId="11" borderId="6" xfId="35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right"/>
    </xf>
    <xf numFmtId="172" fontId="56" fillId="0" borderId="6" xfId="35" applyFont="1" applyFill="1" applyBorder="1" applyAlignment="1" applyProtection="1">
      <alignment horizontal="center"/>
    </xf>
    <xf numFmtId="172" fontId="56" fillId="11" borderId="6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>
      <alignment wrapText="1"/>
    </xf>
    <xf numFmtId="172" fontId="58" fillId="0" borderId="12" xfId="35" applyFont="1" applyFill="1" applyBorder="1" applyAlignment="1" applyProtection="1">
      <alignment vertical="center"/>
    </xf>
    <xf numFmtId="0" fontId="56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6" fillId="10" borderId="0" xfId="0" applyFont="1" applyFill="1" applyBorder="1" applyAlignment="1" applyProtection="1"/>
    <xf numFmtId="172" fontId="56" fillId="0" borderId="10" xfId="35" applyFont="1" applyFill="1" applyBorder="1" applyAlignment="1" applyProtection="1"/>
    <xf numFmtId="172" fontId="58" fillId="11" borderId="7" xfId="35" applyFont="1" applyFill="1" applyBorder="1" applyAlignment="1" applyProtection="1">
      <protection locked="0"/>
    </xf>
    <xf numFmtId="0" fontId="56" fillId="10" borderId="0" xfId="0" applyFont="1" applyFill="1" applyAlignment="1" applyProtection="1"/>
    <xf numFmtId="0" fontId="56" fillId="10" borderId="15" xfId="0" applyFont="1" applyFill="1" applyBorder="1" applyAlignment="1" applyProtection="1"/>
    <xf numFmtId="172" fontId="58" fillId="11" borderId="9" xfId="35" applyFont="1" applyFill="1" applyBorder="1" applyAlignment="1" applyProtection="1">
      <protection locked="0"/>
    </xf>
    <xf numFmtId="172" fontId="56" fillId="11" borderId="9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/>
    <xf numFmtId="172" fontId="58" fillId="0" borderId="12" xfId="35" applyFont="1" applyFill="1" applyBorder="1" applyAlignment="1" applyProtection="1"/>
    <xf numFmtId="0" fontId="57" fillId="0" borderId="0" xfId="0" applyFont="1" applyBorder="1" applyProtection="1"/>
    <xf numFmtId="0" fontId="0" fillId="0" borderId="0" xfId="0" applyFont="1" applyBorder="1" applyProtection="1"/>
    <xf numFmtId="0" fontId="58" fillId="11" borderId="11" xfId="0" applyFont="1" applyFill="1" applyBorder="1" applyAlignment="1" applyProtection="1">
      <alignment horizontal="center" vertical="center"/>
    </xf>
    <xf numFmtId="0" fontId="58" fillId="11" borderId="14" xfId="0" applyFont="1" applyFill="1" applyBorder="1" applyAlignment="1" applyProtection="1">
      <alignment horizontal="center" vertical="center"/>
    </xf>
    <xf numFmtId="0" fontId="56" fillId="11" borderId="15" xfId="0" applyFont="1" applyFill="1" applyBorder="1" applyAlignment="1" applyProtection="1">
      <alignment horizontal="center"/>
    </xf>
    <xf numFmtId="0" fontId="58" fillId="11" borderId="9" xfId="0" applyFont="1" applyFill="1" applyBorder="1" applyAlignment="1" applyProtection="1">
      <alignment horizontal="center" vertical="center"/>
    </xf>
    <xf numFmtId="0" fontId="58" fillId="11" borderId="8" xfId="0" applyFont="1" applyFill="1" applyBorder="1" applyAlignment="1" applyProtection="1">
      <alignment horizontal="center" vertical="center"/>
    </xf>
    <xf numFmtId="0" fontId="58" fillId="11" borderId="15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/>
    <xf numFmtId="172" fontId="56" fillId="0" borderId="11" xfId="35" applyFont="1" applyFill="1" applyBorder="1" applyAlignment="1" applyProtection="1"/>
    <xf numFmtId="172" fontId="56" fillId="0" borderId="13" xfId="35" applyFont="1" applyFill="1" applyBorder="1" applyAlignment="1" applyProtection="1"/>
    <xf numFmtId="172" fontId="15" fillId="11" borderId="4" xfId="35" applyFont="1" applyFill="1" applyBorder="1" applyAlignment="1" applyProtection="1">
      <alignment horizontal="left" vertical="top" wrapText="1"/>
      <protection locked="0"/>
    </xf>
    <xf numFmtId="172" fontId="56" fillId="11" borderId="4" xfId="35" applyFont="1" applyFill="1" applyBorder="1" applyAlignment="1" applyProtection="1">
      <protection locked="0"/>
    </xf>
    <xf numFmtId="172" fontId="56" fillId="0" borderId="4" xfId="35" applyFont="1" applyFill="1" applyBorder="1" applyAlignment="1" applyProtection="1"/>
    <xf numFmtId="172" fontId="56" fillId="0" borderId="7" xfId="35" applyFont="1" applyFill="1" applyBorder="1" applyAlignment="1" applyProtection="1"/>
    <xf numFmtId="172" fontId="56" fillId="11" borderId="7" xfId="35" applyFont="1" applyFill="1" applyBorder="1" applyAlignment="1" applyProtection="1">
      <alignment horizontal="center"/>
      <protection locked="0"/>
    </xf>
    <xf numFmtId="172" fontId="56" fillId="11" borderId="4" xfId="35" applyFont="1" applyFill="1" applyBorder="1" applyAlignment="1" applyProtection="1">
      <alignment horizontal="center"/>
      <protection locked="0"/>
    </xf>
    <xf numFmtId="172" fontId="21" fillId="11" borderId="7" xfId="35" applyFont="1" applyFill="1" applyBorder="1" applyAlignment="1" applyProtection="1">
      <protection locked="0"/>
    </xf>
    <xf numFmtId="172" fontId="21" fillId="11" borderId="9" xfId="35" applyFont="1" applyFill="1" applyBorder="1" applyAlignment="1" applyProtection="1">
      <protection locked="0"/>
    </xf>
    <xf numFmtId="0" fontId="58" fillId="10" borderId="3" xfId="0" applyFont="1" applyFill="1" applyBorder="1" applyAlignment="1" applyProtection="1"/>
    <xf numFmtId="172" fontId="56" fillId="0" borderId="12" xfId="35" applyFont="1" applyFill="1" applyBorder="1" applyAlignment="1" applyProtection="1"/>
    <xf numFmtId="172" fontId="56" fillId="0" borderId="16" xfId="35" applyFont="1" applyFill="1" applyBorder="1" applyAlignment="1" applyProtection="1"/>
    <xf numFmtId="172" fontId="0" fillId="0" borderId="0" xfId="0" applyNumberFormat="1" applyFont="1" applyFill="1" applyProtection="1"/>
    <xf numFmtId="0" fontId="0" fillId="0" borderId="0" xfId="0" applyNumberFormat="1" applyFont="1" applyFill="1" applyProtection="1"/>
    <xf numFmtId="0" fontId="58" fillId="11" borderId="0" xfId="0" applyFont="1" applyFill="1" applyBorder="1" applyAlignment="1" applyProtection="1">
      <alignment horizontal="center" vertical="center"/>
    </xf>
    <xf numFmtId="0" fontId="56" fillId="10" borderId="14" xfId="0" applyFont="1" applyFill="1" applyBorder="1" applyAlignment="1" applyProtection="1">
      <alignment horizontal="left"/>
    </xf>
    <xf numFmtId="172" fontId="56" fillId="11" borderId="11" xfId="35" applyFont="1" applyFill="1" applyBorder="1" applyAlignment="1" applyProtection="1">
      <alignment horizontal="left"/>
      <protection locked="0"/>
    </xf>
    <xf numFmtId="172" fontId="56" fillId="11" borderId="13" xfId="35" applyFont="1" applyFill="1" applyBorder="1" applyAlignment="1" applyProtection="1">
      <alignment horizontal="left"/>
      <protection locked="0"/>
    </xf>
    <xf numFmtId="0" fontId="56" fillId="10" borderId="0" xfId="0" applyFont="1" applyFill="1" applyBorder="1" applyAlignment="1" applyProtection="1">
      <alignment horizontal="left"/>
    </xf>
    <xf numFmtId="172" fontId="56" fillId="11" borderId="6" xfId="35" applyFont="1" applyFill="1" applyBorder="1" applyAlignment="1" applyProtection="1">
      <alignment horizontal="left"/>
      <protection locked="0"/>
    </xf>
    <xf numFmtId="172" fontId="56" fillId="11" borderId="4" xfId="35" applyFont="1" applyFill="1" applyBorder="1" applyAlignment="1" applyProtection="1">
      <alignment horizontal="left"/>
      <protection locked="0"/>
    </xf>
    <xf numFmtId="172" fontId="56" fillId="11" borderId="0" xfId="35" applyFont="1" applyFill="1" applyBorder="1" applyAlignment="1" applyProtection="1">
      <alignment horizontal="center"/>
      <protection locked="0"/>
    </xf>
    <xf numFmtId="172" fontId="56" fillId="10" borderId="6" xfId="35" applyFont="1" applyFill="1" applyBorder="1" applyAlignment="1" applyProtection="1">
      <alignment horizontal="left"/>
    </xf>
    <xf numFmtId="172" fontId="56" fillId="10" borderId="7" xfId="35" applyFont="1" applyFill="1" applyBorder="1" applyAlignment="1" applyProtection="1">
      <alignment horizontal="left"/>
    </xf>
    <xf numFmtId="0" fontId="56" fillId="10" borderId="0" xfId="0" applyFont="1" applyFill="1" applyProtection="1"/>
    <xf numFmtId="0" fontId="0" fillId="11" borderId="19" xfId="0" applyFont="1" applyFill="1" applyBorder="1" applyProtection="1">
      <protection locked="0"/>
    </xf>
    <xf numFmtId="0" fontId="56" fillId="10" borderId="4" xfId="0" applyFont="1" applyFill="1" applyBorder="1" applyProtection="1"/>
    <xf numFmtId="172" fontId="56" fillId="11" borderId="0" xfId="35" applyFont="1" applyFill="1" applyBorder="1" applyAlignment="1" applyProtection="1">
      <protection locked="0"/>
    </xf>
    <xf numFmtId="0" fontId="56" fillId="10" borderId="4" xfId="0" applyFont="1" applyFill="1" applyBorder="1" applyAlignment="1" applyProtection="1">
      <alignment horizontal="left"/>
    </xf>
    <xf numFmtId="0" fontId="56" fillId="10" borderId="0" xfId="0" applyFont="1" applyFill="1" applyBorder="1" applyAlignment="1" applyProtection="1">
      <alignment horizontal="left" wrapText="1"/>
    </xf>
    <xf numFmtId="172" fontId="56" fillId="11" borderId="7" xfId="35" applyFont="1" applyFill="1" applyBorder="1" applyAlignment="1" applyProtection="1">
      <alignment horizontal="center" vertical="center"/>
      <protection locked="0"/>
    </xf>
    <xf numFmtId="172" fontId="56" fillId="11" borderId="0" xfId="35" applyFont="1" applyFill="1" applyBorder="1" applyAlignment="1" applyProtection="1">
      <alignment horizontal="center" vertical="center"/>
      <protection locked="0"/>
    </xf>
    <xf numFmtId="0" fontId="56" fillId="10" borderId="4" xfId="0" applyFont="1" applyFill="1" applyBorder="1" applyAlignment="1" applyProtection="1">
      <alignment horizontal="left" wrapText="1"/>
    </xf>
    <xf numFmtId="0" fontId="56" fillId="10" borderId="15" xfId="0" applyFont="1" applyFill="1" applyBorder="1" applyAlignment="1" applyProtection="1">
      <alignment horizontal="left" wrapText="1"/>
    </xf>
    <xf numFmtId="0" fontId="58" fillId="10" borderId="3" xfId="0" applyFont="1" applyFill="1" applyBorder="1" applyAlignment="1" applyProtection="1">
      <alignment wrapText="1"/>
    </xf>
    <xf numFmtId="0" fontId="58" fillId="10" borderId="0" xfId="0" applyFont="1" applyFill="1" applyBorder="1" applyAlignment="1" applyProtection="1">
      <alignment horizontal="left" vertical="center" wrapText="1"/>
    </xf>
    <xf numFmtId="172" fontId="58" fillId="10" borderId="16" xfId="35" applyFont="1" applyFill="1" applyBorder="1" applyAlignment="1" applyProtection="1">
      <alignment horizontal="center" vertical="center" wrapText="1"/>
    </xf>
    <xf numFmtId="0" fontId="56" fillId="21" borderId="9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wrapText="1"/>
    </xf>
    <xf numFmtId="0" fontId="56" fillId="0" borderId="0" xfId="0" applyFont="1" applyFill="1" applyBorder="1" applyAlignment="1" applyProtection="1">
      <alignment horizontal="center"/>
    </xf>
    <xf numFmtId="0" fontId="57" fillId="0" borderId="15" xfId="0" applyFont="1" applyBorder="1" applyProtection="1"/>
    <xf numFmtId="0" fontId="0" fillId="0" borderId="15" xfId="0" applyFont="1" applyBorder="1" applyProtection="1"/>
    <xf numFmtId="0" fontId="57" fillId="0" borderId="3" xfId="0" applyFont="1" applyBorder="1" applyProtection="1"/>
    <xf numFmtId="0" fontId="0" fillId="0" borderId="3" xfId="0" applyFont="1" applyBorder="1" applyProtection="1"/>
    <xf numFmtId="0" fontId="58" fillId="0" borderId="0" xfId="0" applyFont="1" applyFill="1" applyBorder="1" applyAlignment="1" applyProtection="1">
      <alignment horizontal="left" vertical="center" wrapText="1"/>
    </xf>
    <xf numFmtId="172" fontId="58" fillId="11" borderId="11" xfId="35" applyFont="1" applyFill="1" applyBorder="1" applyAlignment="1" applyProtection="1">
      <alignment vertical="center" wrapText="1"/>
      <protection locked="0"/>
    </xf>
    <xf numFmtId="172" fontId="58" fillId="11" borderId="13" xfId="35" applyFont="1" applyFill="1" applyBorder="1" applyAlignment="1" applyProtection="1">
      <alignment vertical="center" wrapText="1"/>
      <protection locked="0"/>
    </xf>
    <xf numFmtId="172" fontId="56" fillId="11" borderId="11" xfId="35" applyFont="1" applyFill="1" applyBorder="1" applyAlignment="1" applyProtection="1">
      <protection locked="0"/>
    </xf>
    <xf numFmtId="172" fontId="56" fillId="11" borderId="13" xfId="35" applyFont="1" applyFill="1" applyBorder="1" applyAlignment="1" applyProtection="1">
      <protection locked="0"/>
    </xf>
    <xf numFmtId="0" fontId="58" fillId="10" borderId="4" xfId="0" applyFont="1" applyFill="1" applyBorder="1" applyAlignment="1" applyProtection="1">
      <alignment horizontal="left" wrapText="1"/>
      <protection locked="0"/>
    </xf>
    <xf numFmtId="172" fontId="58" fillId="11" borderId="6" xfId="35" applyFont="1" applyFill="1" applyBorder="1" applyAlignment="1" applyProtection="1">
      <alignment vertical="center" wrapText="1"/>
      <protection locked="0"/>
    </xf>
    <xf numFmtId="172" fontId="58" fillId="11" borderId="4" xfId="35" applyFont="1" applyFill="1" applyBorder="1" applyAlignment="1" applyProtection="1">
      <alignment vertical="center" wrapText="1"/>
      <protection locked="0"/>
    </xf>
    <xf numFmtId="0" fontId="58" fillId="10" borderId="0" xfId="0" applyFont="1" applyFill="1" applyBorder="1" applyAlignment="1" applyProtection="1">
      <alignment horizontal="left" wrapText="1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2" fontId="58" fillId="0" borderId="8" xfId="35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wrapText="1"/>
    </xf>
    <xf numFmtId="0" fontId="56" fillId="0" borderId="15" xfId="0" applyFont="1" applyFill="1" applyBorder="1" applyAlignment="1" applyProtection="1">
      <alignment horizontal="center"/>
    </xf>
    <xf numFmtId="0" fontId="56" fillId="0" borderId="15" xfId="0" applyFont="1" applyFill="1" applyBorder="1" applyAlignment="1" applyProtection="1"/>
    <xf numFmtId="0" fontId="58" fillId="10" borderId="14" xfId="0" applyFont="1" applyFill="1" applyBorder="1" applyAlignment="1" applyProtection="1">
      <alignment horizontal="left" vertical="center" wrapText="1"/>
      <protection locked="0"/>
    </xf>
    <xf numFmtId="0" fontId="58" fillId="10" borderId="13" xfId="0" applyFont="1" applyFill="1" applyBorder="1" applyAlignment="1" applyProtection="1">
      <alignment horizontal="center" vertical="center" wrapText="1"/>
      <protection locked="0"/>
    </xf>
    <xf numFmtId="0" fontId="58" fillId="10" borderId="0" xfId="0" applyFont="1" applyFill="1" applyBorder="1" applyAlignment="1" applyProtection="1">
      <alignment horizontal="left" vertical="center" wrapText="1"/>
      <protection locked="0"/>
    </xf>
    <xf numFmtId="0" fontId="58" fillId="10" borderId="4" xfId="0" applyFont="1" applyFill="1" applyBorder="1" applyAlignment="1" applyProtection="1">
      <alignment horizontal="center" vertical="center" wrapText="1"/>
      <protection locked="0"/>
    </xf>
    <xf numFmtId="0" fontId="58" fillId="10" borderId="15" xfId="0" applyFont="1" applyFill="1" applyBorder="1" applyAlignment="1" applyProtection="1">
      <alignment horizontal="left" vertical="center" wrapText="1"/>
    </xf>
    <xf numFmtId="0" fontId="58" fillId="10" borderId="5" xfId="0" applyFont="1" applyFill="1" applyBorder="1" applyAlignment="1" applyProtection="1">
      <alignment horizontal="center" vertical="center" wrapText="1"/>
    </xf>
    <xf numFmtId="0" fontId="58" fillId="10" borderId="14" xfId="0" applyFont="1" applyFill="1" applyBorder="1" applyAlignment="1" applyProtection="1">
      <alignment horizontal="center" vertical="center" wrapText="1"/>
      <protection locked="0"/>
    </xf>
    <xf numFmtId="0" fontId="58" fillId="10" borderId="0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/>
    <xf numFmtId="0" fontId="60" fillId="11" borderId="14" xfId="0" applyFont="1" applyFill="1" applyBorder="1" applyAlignment="1" applyProtection="1">
      <alignment horizontal="center"/>
    </xf>
    <xf numFmtId="0" fontId="56" fillId="11" borderId="0" xfId="0" applyFont="1" applyFill="1" applyBorder="1" applyAlignment="1" applyProtection="1">
      <alignment horizontal="center"/>
    </xf>
    <xf numFmtId="0" fontId="58" fillId="11" borderId="14" xfId="0" applyFont="1" applyFill="1" applyBorder="1" applyAlignment="1" applyProtection="1">
      <alignment horizontal="center"/>
    </xf>
    <xf numFmtId="0" fontId="58" fillId="11" borderId="15" xfId="0" applyFont="1" applyFill="1" applyBorder="1" applyAlignment="1" applyProtection="1">
      <alignment horizontal="center" vertical="center" wrapText="1"/>
    </xf>
    <xf numFmtId="172" fontId="21" fillId="11" borderId="10" xfId="35" applyFont="1" applyFill="1" applyBorder="1" applyAlignment="1" applyProtection="1">
      <protection locked="0"/>
    </xf>
    <xf numFmtId="172" fontId="58" fillId="21" borderId="12" xfId="35" applyFont="1" applyFill="1" applyBorder="1" applyAlignment="1" applyProtection="1"/>
    <xf numFmtId="172" fontId="58" fillId="0" borderId="16" xfId="35" applyFont="1" applyFill="1" applyBorder="1" applyAlignment="1" applyProtection="1"/>
    <xf numFmtId="0" fontId="62" fillId="0" borderId="0" xfId="0" applyFont="1" applyFill="1" applyBorder="1" applyAlignment="1" applyProtection="1"/>
    <xf numFmtId="0" fontId="62" fillId="0" borderId="0" xfId="0" applyFont="1" applyFill="1" applyAlignment="1" applyProtection="1"/>
    <xf numFmtId="0" fontId="0" fillId="0" borderId="0" xfId="25" applyFont="1" applyProtection="1"/>
    <xf numFmtId="0" fontId="55" fillId="0" borderId="0" xfId="25" applyNumberFormat="1" applyFont="1" applyFill="1" applyAlignment="1" applyProtection="1"/>
    <xf numFmtId="0" fontId="56" fillId="0" borderId="0" xfId="25" applyFont="1" applyFill="1" applyAlignment="1" applyProtection="1">
      <alignment horizontal="center"/>
    </xf>
    <xf numFmtId="0" fontId="57" fillId="0" borderId="0" xfId="25" applyFont="1" applyProtection="1"/>
    <xf numFmtId="0" fontId="56" fillId="0" borderId="0" xfId="25" applyFont="1" applyFill="1" applyAlignment="1" applyProtection="1"/>
    <xf numFmtId="0" fontId="56" fillId="10" borderId="0" xfId="25" applyFont="1" applyFill="1" applyProtection="1"/>
    <xf numFmtId="174" fontId="56" fillId="0" borderId="0" xfId="25" applyNumberFormat="1" applyFont="1" applyFill="1" applyAlignment="1" applyProtection="1">
      <alignment horizontal="right"/>
    </xf>
    <xf numFmtId="0" fontId="56" fillId="0" borderId="0" xfId="25" applyFont="1" applyAlignment="1" applyProtection="1">
      <alignment horizontal="right"/>
    </xf>
    <xf numFmtId="0" fontId="60" fillId="11" borderId="13" xfId="25" applyFont="1" applyFill="1" applyBorder="1" applyAlignment="1" applyProtection="1">
      <alignment horizontal="center" vertical="center" wrapText="1"/>
    </xf>
    <xf numFmtId="0" fontId="60" fillId="11" borderId="4" xfId="25" applyFont="1" applyFill="1" applyBorder="1" applyAlignment="1" applyProtection="1">
      <alignment horizontal="center" vertical="center"/>
      <protection locked="0"/>
    </xf>
    <xf numFmtId="0" fontId="58" fillId="11" borderId="11" xfId="25" applyFont="1" applyFill="1" applyBorder="1" applyAlignment="1" applyProtection="1">
      <alignment horizontal="center" vertical="center"/>
    </xf>
    <xf numFmtId="0" fontId="58" fillId="11" borderId="14" xfId="25" applyFont="1" applyFill="1" applyBorder="1" applyAlignment="1" applyProtection="1">
      <alignment horizontal="center" vertical="center"/>
    </xf>
    <xf numFmtId="0" fontId="56" fillId="11" borderId="0" xfId="25" applyFont="1" applyFill="1" applyBorder="1" applyAlignment="1" applyProtection="1">
      <alignment horizontal="center"/>
    </xf>
    <xf numFmtId="0" fontId="58" fillId="11" borderId="8" xfId="25" applyFont="1" applyFill="1" applyBorder="1" applyAlignment="1" applyProtection="1">
      <alignment horizontal="center"/>
    </xf>
    <xf numFmtId="0" fontId="58" fillId="11" borderId="15" xfId="25" applyFont="1" applyFill="1" applyBorder="1" applyAlignment="1" applyProtection="1">
      <alignment horizontal="center"/>
    </xf>
    <xf numFmtId="0" fontId="56" fillId="0" borderId="14" xfId="25" applyFont="1" applyFill="1" applyBorder="1" applyAlignment="1" applyProtection="1"/>
    <xf numFmtId="172" fontId="56" fillId="0" borderId="10" xfId="35" applyFont="1" applyFill="1" applyBorder="1" applyAlignment="1" applyProtection="1">
      <alignment horizontal="center"/>
    </xf>
    <xf numFmtId="0" fontId="56" fillId="0" borderId="0" xfId="25" applyFont="1" applyFill="1" applyBorder="1" applyAlignment="1" applyProtection="1"/>
    <xf numFmtId="172" fontId="56" fillId="0" borderId="7" xfId="35" applyFont="1" applyFill="1" applyBorder="1" applyAlignment="1" applyProtection="1">
      <alignment horizontal="center"/>
    </xf>
    <xf numFmtId="0" fontId="58" fillId="10" borderId="3" xfId="25" applyFont="1" applyFill="1" applyBorder="1" applyAlignment="1" applyProtection="1"/>
    <xf numFmtId="172" fontId="56" fillId="0" borderId="12" xfId="25" applyNumberFormat="1" applyFont="1" applyFill="1" applyBorder="1" applyAlignment="1" applyProtection="1">
      <alignment horizontal="center"/>
    </xf>
    <xf numFmtId="172" fontId="56" fillId="0" borderId="12" xfId="35" applyFont="1" applyFill="1" applyBorder="1" applyAlignment="1" applyProtection="1">
      <alignment horizontal="center"/>
    </xf>
    <xf numFmtId="172" fontId="56" fillId="0" borderId="16" xfId="25" applyNumberFormat="1" applyFont="1" applyFill="1" applyBorder="1" applyAlignment="1" applyProtection="1">
      <alignment horizontal="center"/>
    </xf>
    <xf numFmtId="0" fontId="58" fillId="11" borderId="11" xfId="25" applyFont="1" applyFill="1" applyBorder="1" applyAlignment="1" applyProtection="1">
      <alignment horizontal="center"/>
    </xf>
    <xf numFmtId="0" fontId="58" fillId="11" borderId="14" xfId="25" applyFont="1" applyFill="1" applyBorder="1" applyAlignment="1" applyProtection="1">
      <alignment horizontal="center"/>
    </xf>
    <xf numFmtId="0" fontId="56" fillId="10" borderId="0" xfId="25" applyFont="1" applyFill="1" applyBorder="1" applyAlignment="1" applyProtection="1">
      <alignment horizontal="left"/>
    </xf>
    <xf numFmtId="0" fontId="56" fillId="10" borderId="14" xfId="25" applyFont="1" applyFill="1" applyBorder="1" applyAlignment="1" applyProtection="1">
      <alignment horizontal="left"/>
    </xf>
    <xf numFmtId="0" fontId="56" fillId="10" borderId="4" xfId="25" applyFont="1" applyFill="1" applyBorder="1" applyAlignment="1" applyProtection="1">
      <alignment horizontal="left"/>
    </xf>
    <xf numFmtId="172" fontId="0" fillId="11" borderId="10" xfId="35" applyFont="1" applyFill="1" applyBorder="1" applyAlignment="1" applyProtection="1">
      <protection locked="0"/>
    </xf>
    <xf numFmtId="0" fontId="56" fillId="10" borderId="0" xfId="25" applyFont="1" applyFill="1" applyBorder="1" applyProtection="1"/>
    <xf numFmtId="0" fontId="58" fillId="10" borderId="3" xfId="25" applyFont="1" applyFill="1" applyBorder="1" applyAlignment="1" applyProtection="1">
      <alignment wrapText="1"/>
    </xf>
    <xf numFmtId="0" fontId="56" fillId="0" borderId="15" xfId="25" applyFont="1" applyFill="1" applyBorder="1" applyAlignment="1" applyProtection="1"/>
    <xf numFmtId="0" fontId="56" fillId="0" borderId="3" xfId="25" applyFont="1" applyFill="1" applyBorder="1" applyAlignment="1" applyProtection="1">
      <alignment horizontal="center"/>
    </xf>
    <xf numFmtId="0" fontId="58" fillId="10" borderId="3" xfId="25" applyFont="1" applyFill="1" applyBorder="1" applyAlignment="1" applyProtection="1">
      <alignment horizontal="left" vertical="center" wrapText="1"/>
    </xf>
    <xf numFmtId="0" fontId="58" fillId="10" borderId="3" xfId="25" applyFont="1" applyFill="1" applyBorder="1" applyAlignment="1" applyProtection="1">
      <alignment horizontal="center" vertical="center" wrapText="1"/>
    </xf>
    <xf numFmtId="172" fontId="56" fillId="0" borderId="9" xfId="25" applyNumberFormat="1" applyFont="1" applyFill="1" applyBorder="1" applyAlignment="1" applyProtection="1">
      <alignment horizontal="center" vertical="center"/>
    </xf>
    <xf numFmtId="172" fontId="56" fillId="0" borderId="16" xfId="25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1" borderId="14" xfId="0" applyFont="1" applyFill="1" applyBorder="1" applyAlignment="1" applyProtection="1">
      <alignment horizontal="left" vertical="top"/>
    </xf>
    <xf numFmtId="174" fontId="37" fillId="11" borderId="14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wrapText="1"/>
    </xf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1" borderId="1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Alignment="1" applyProtection="1">
      <alignment vertical="top"/>
    </xf>
    <xf numFmtId="0" fontId="54" fillId="11" borderId="0" xfId="0" applyFont="1" applyFill="1" applyBorder="1" applyAlignment="1" applyProtection="1">
      <alignment horizontal="center" vertical="center" wrapText="1"/>
    </xf>
    <xf numFmtId="0" fontId="37" fillId="11" borderId="15" xfId="0" applyFont="1" applyFill="1" applyBorder="1" applyAlignment="1" applyProtection="1">
      <alignment horizontal="center" vertical="center" wrapText="1"/>
    </xf>
    <xf numFmtId="0" fontId="37" fillId="11" borderId="9" xfId="0" applyFont="1" applyFill="1" applyBorder="1" applyAlignment="1" applyProtection="1">
      <alignment horizontal="center" vertical="top" wrapText="1"/>
    </xf>
    <xf numFmtId="172" fontId="15" fillId="11" borderId="7" xfId="35" applyNumberFormat="1" applyFont="1" applyFill="1" applyBorder="1" applyAlignment="1" applyProtection="1">
      <alignment horizontal="right" vertical="top" wrapText="1"/>
      <protection locked="0"/>
    </xf>
    <xf numFmtId="172" fontId="15" fillId="11" borderId="6" xfId="35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 wrapText="1"/>
    </xf>
    <xf numFmtId="172" fontId="15" fillId="0" borderId="16" xfId="3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72" fontId="15" fillId="11" borderId="16" xfId="35" applyNumberFormat="1" applyFont="1" applyFill="1" applyBorder="1" applyAlignment="1" applyProtection="1">
      <alignment horizontal="right" vertical="top" wrapText="1"/>
      <protection locked="0"/>
    </xf>
    <xf numFmtId="172" fontId="15" fillId="11" borderId="12" xfId="35" applyNumberFormat="1" applyFont="1" applyFill="1" applyBorder="1" applyAlignment="1" applyProtection="1">
      <alignment horizontal="right" vertical="top" wrapText="1"/>
      <protection locked="0"/>
    </xf>
    <xf numFmtId="172" fontId="15" fillId="0" borderId="0" xfId="0" applyNumberFormat="1" applyFont="1" applyFill="1" applyBorder="1" applyAlignment="1" applyProtection="1">
      <alignment vertical="top" wrapText="1"/>
    </xf>
    <xf numFmtId="0" fontId="15" fillId="18" borderId="5" xfId="0" applyFont="1" applyFill="1" applyBorder="1" applyAlignment="1" applyProtection="1">
      <alignment horizontal="justify" vertical="top" wrapText="1"/>
    </xf>
    <xf numFmtId="10" fontId="15" fillId="18" borderId="16" xfId="29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74" fontId="15" fillId="0" borderId="0" xfId="0" applyNumberFormat="1" applyFont="1" applyFill="1" applyAlignment="1" applyProtection="1">
      <alignment horizontal="right"/>
    </xf>
    <xf numFmtId="0" fontId="37" fillId="11" borderId="2" xfId="0" applyFont="1" applyFill="1" applyBorder="1" applyAlignment="1" applyProtection="1">
      <alignment horizontal="center" vertical="center"/>
    </xf>
    <xf numFmtId="0" fontId="37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72" fontId="15" fillId="11" borderId="4" xfId="35" applyFont="1" applyFill="1" applyBorder="1" applyAlignment="1" applyProtection="1">
      <alignment horizontal="center"/>
      <protection locked="0"/>
    </xf>
    <xf numFmtId="172" fontId="15" fillId="11" borderId="7" xfId="35" applyFont="1" applyFill="1" applyBorder="1" applyAlignment="1" applyProtection="1">
      <alignment horizontal="center"/>
      <protection locked="0"/>
    </xf>
    <xf numFmtId="172" fontId="15" fillId="11" borderId="0" xfId="35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37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5" fillId="0" borderId="0" xfId="0" applyFont="1" applyFill="1" applyBorder="1" applyAlignment="1" applyProtection="1"/>
    <xf numFmtId="37" fontId="65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1" borderId="11" xfId="0" applyFont="1" applyFill="1" applyBorder="1" applyAlignment="1" applyProtection="1">
      <alignment horizontal="center"/>
    </xf>
    <xf numFmtId="0" fontId="37" fillId="11" borderId="6" xfId="0" applyFont="1" applyFill="1" applyBorder="1" applyAlignment="1" applyProtection="1">
      <alignment horizontal="center"/>
    </xf>
    <xf numFmtId="0" fontId="37" fillId="11" borderId="8" xfId="0" applyFont="1" applyFill="1" applyBorder="1" applyAlignment="1" applyProtection="1">
      <alignment horizontal="center"/>
    </xf>
    <xf numFmtId="172" fontId="15" fillId="11" borderId="4" xfId="35" applyFont="1" applyFill="1" applyBorder="1" applyAlignment="1" applyProtection="1">
      <protection locked="0"/>
    </xf>
    <xf numFmtId="172" fontId="15" fillId="11" borderId="5" xfId="35" applyFont="1" applyFill="1" applyBorder="1" applyAlignment="1" applyProtection="1">
      <protection locked="0"/>
    </xf>
    <xf numFmtId="172" fontId="15" fillId="11" borderId="9" xfId="35" applyFont="1" applyFill="1" applyBorder="1" applyAlignment="1" applyProtection="1">
      <protection locked="0"/>
    </xf>
    <xf numFmtId="0" fontId="37" fillId="11" borderId="10" xfId="0" applyFont="1" applyFill="1" applyBorder="1" applyAlignment="1" applyProtection="1">
      <alignment horizontal="center"/>
    </xf>
    <xf numFmtId="0" fontId="37" fillId="11" borderId="9" xfId="0" applyFont="1" applyFill="1" applyBorder="1" applyAlignment="1" applyProtection="1">
      <alignment horizontal="center"/>
    </xf>
    <xf numFmtId="172" fontId="15" fillId="0" borderId="4" xfId="35" applyFont="1" applyFill="1" applyBorder="1" applyAlignment="1" applyProtection="1"/>
    <xf numFmtId="172" fontId="15" fillId="11" borderId="6" xfId="35" applyFont="1" applyFill="1" applyBorder="1" applyAlignment="1" applyProtection="1">
      <protection locked="0"/>
    </xf>
    <xf numFmtId="172" fontId="15" fillId="11" borderId="7" xfId="35" applyNumberFormat="1" applyFont="1" applyFill="1" applyBorder="1" applyAlignment="1" applyProtection="1">
      <protection locked="0"/>
    </xf>
    <xf numFmtId="172" fontId="15" fillId="11" borderId="6" xfId="3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72" fontId="15" fillId="0" borderId="2" xfId="35" applyFont="1" applyFill="1" applyBorder="1" applyAlignment="1" applyProtection="1"/>
    <xf numFmtId="0" fontId="37" fillId="11" borderId="13" xfId="0" applyFont="1" applyFill="1" applyBorder="1" applyAlignment="1" applyProtection="1">
      <alignment horizontal="center"/>
    </xf>
    <xf numFmtId="0" fontId="37" fillId="11" borderId="4" xfId="0" applyFont="1" applyFill="1" applyBorder="1" applyAlignment="1" applyProtection="1">
      <alignment horizontal="center"/>
    </xf>
    <xf numFmtId="0" fontId="37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72" fontId="15" fillId="11" borderId="8" xfId="35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66" fillId="11" borderId="2" xfId="0" applyFont="1" applyFill="1" applyBorder="1" applyAlignment="1" applyProtection="1">
      <alignment horizontal="center" vertical="center"/>
    </xf>
    <xf numFmtId="37" fontId="37" fillId="11" borderId="12" xfId="0" applyNumberFormat="1" applyFont="1" applyFill="1" applyBorder="1" applyAlignment="1" applyProtection="1">
      <alignment horizontal="center" vertical="center"/>
    </xf>
    <xf numFmtId="172" fontId="15" fillId="11" borderId="2" xfId="35" applyFont="1" applyFill="1" applyBorder="1" applyAlignment="1" applyProtection="1">
      <protection locked="0"/>
    </xf>
    <xf numFmtId="10" fontId="15" fillId="11" borderId="12" xfId="2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1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0" fontId="0" fillId="11" borderId="0" xfId="25" applyFont="1" applyFill="1" applyAlignment="1" applyProtection="1">
      <alignment horizontal="left" vertical="center"/>
      <protection locked="0"/>
    </xf>
    <xf numFmtId="0" fontId="0" fillId="0" borderId="0" xfId="25" applyFont="1" applyAlignment="1" applyProtection="1">
      <alignment vertical="center"/>
      <protection locked="0"/>
    </xf>
    <xf numFmtId="179" fontId="67" fillId="22" borderId="0" xfId="25" applyNumberFormat="1" applyFill="1" applyAlignment="1" applyProtection="1">
      <alignment vertical="center"/>
      <protection locked="0"/>
    </xf>
    <xf numFmtId="14" fontId="67" fillId="24" borderId="0" xfId="25" applyNumberFormat="1" applyFill="1" applyAlignment="1" applyProtection="1">
      <alignment vertical="center"/>
      <protection locked="0"/>
    </xf>
    <xf numFmtId="0" fontId="67" fillId="0" borderId="15" xfId="25" applyBorder="1" applyAlignment="1" applyProtection="1">
      <alignment vertical="center"/>
      <protection locked="0"/>
    </xf>
    <xf numFmtId="172" fontId="23" fillId="11" borderId="0" xfId="35" applyFont="1" applyFill="1" applyAlignment="1" applyProtection="1">
      <alignment horizontal="center"/>
      <protection locked="0"/>
    </xf>
    <xf numFmtId="172" fontId="23" fillId="11" borderId="6" xfId="35" applyFont="1" applyFill="1" applyBorder="1" applyProtection="1">
      <protection locked="0"/>
    </xf>
    <xf numFmtId="172" fontId="23" fillId="11" borderId="4" xfId="35" applyFont="1" applyFill="1" applyBorder="1" applyProtection="1">
      <protection locked="0"/>
    </xf>
    <xf numFmtId="172" fontId="23" fillId="11" borderId="7" xfId="35" applyFont="1" applyFill="1" applyBorder="1" applyProtection="1">
      <protection locked="0"/>
    </xf>
    <xf numFmtId="172" fontId="56" fillId="11" borderId="7" xfId="35" applyFont="1" applyFill="1" applyBorder="1" applyProtection="1">
      <protection locked="0"/>
    </xf>
    <xf numFmtId="172" fontId="56" fillId="11" borderId="6" xfId="35" applyFont="1" applyFill="1" applyBorder="1" applyProtection="1">
      <protection locked="0"/>
    </xf>
    <xf numFmtId="0" fontId="56" fillId="0" borderId="0" xfId="0" applyFont="1" applyProtection="1">
      <protection locked="0"/>
    </xf>
    <xf numFmtId="0" fontId="56" fillId="0" borderId="15" xfId="0" applyFont="1" applyBorder="1" applyProtection="1">
      <protection locked="0"/>
    </xf>
    <xf numFmtId="172" fontId="56" fillId="11" borderId="8" xfId="35" applyFont="1" applyFill="1" applyBorder="1" applyProtection="1">
      <protection locked="0"/>
    </xf>
    <xf numFmtId="172" fontId="56" fillId="11" borderId="0" xfId="35" applyFont="1" applyFill="1" applyAlignment="1" applyProtection="1">
      <alignment horizontal="center"/>
      <protection locked="0"/>
    </xf>
    <xf numFmtId="179" fontId="0" fillId="22" borderId="0" xfId="25" applyNumberFormat="1" applyFont="1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1" borderId="2" xfId="0" applyFont="1" applyFill="1" applyBorder="1" applyAlignment="1" applyProtection="1">
      <alignment horizontal="center" vertical="center"/>
    </xf>
    <xf numFmtId="49" fontId="25" fillId="11" borderId="12" xfId="0" applyNumberFormat="1" applyFont="1" applyFill="1" applyBorder="1" applyAlignment="1" applyProtection="1">
      <alignment horizontal="center" vertical="center" wrapText="1"/>
    </xf>
    <xf numFmtId="49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 vertical="center"/>
    </xf>
    <xf numFmtId="49" fontId="25" fillId="11" borderId="6" xfId="0" applyNumberFormat="1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/>
    </xf>
    <xf numFmtId="49" fontId="25" fillId="11" borderId="8" xfId="0" applyNumberFormat="1" applyFont="1" applyFill="1" applyBorder="1" applyAlignment="1" applyProtection="1">
      <alignment horizontal="center"/>
    </xf>
    <xf numFmtId="172" fontId="23" fillId="11" borderId="11" xfId="35" applyFont="1" applyFill="1" applyBorder="1" applyAlignment="1" applyProtection="1">
      <alignment horizontal="center"/>
    </xf>
    <xf numFmtId="172" fontId="23" fillId="7" borderId="6" xfId="35" applyFont="1" applyFill="1" applyBorder="1" applyAlignment="1" applyProtection="1">
      <alignment horizontal="center"/>
    </xf>
    <xf numFmtId="172" fontId="23" fillId="8" borderId="6" xfId="35" applyFont="1" applyFill="1" applyBorder="1" applyAlignment="1" applyProtection="1">
      <alignment horizontal="center"/>
    </xf>
    <xf numFmtId="172" fontId="23" fillId="11" borderId="6" xfId="35" applyFont="1" applyFill="1" applyBorder="1" applyAlignment="1" applyProtection="1">
      <alignment horizontal="center"/>
      <protection locked="0"/>
    </xf>
    <xf numFmtId="172" fontId="23" fillId="11" borderId="6" xfId="35" applyFont="1" applyFill="1" applyBorder="1" applyAlignment="1" applyProtection="1">
      <alignment horizontal="center" vertical="center"/>
      <protection locked="0"/>
    </xf>
    <xf numFmtId="172" fontId="23" fillId="12" borderId="6" xfId="35" applyFont="1" applyFill="1" applyBorder="1" applyAlignment="1" applyProtection="1">
      <alignment horizontal="center"/>
      <protection locked="0"/>
    </xf>
    <xf numFmtId="172" fontId="23" fillId="11" borderId="7" xfId="35" applyFont="1" applyFill="1" applyBorder="1" applyAlignment="1" applyProtection="1">
      <alignment horizontal="center" vertical="center"/>
      <protection locked="0"/>
    </xf>
    <xf numFmtId="172" fontId="23" fillId="11" borderId="8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</xf>
    <xf numFmtId="172" fontId="23" fillId="11" borderId="6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  <protection locked="0"/>
    </xf>
    <xf numFmtId="172" fontId="23" fillId="11" borderId="12" xfId="35" applyFont="1" applyFill="1" applyBorder="1" applyAlignment="1" applyProtection="1">
      <alignment horizontal="center"/>
    </xf>
    <xf numFmtId="172" fontId="23" fillId="11" borderId="12" xfId="35" applyFont="1" applyFill="1" applyBorder="1" applyAlignment="1" applyProtection="1">
      <alignment horizontal="center"/>
      <protection locked="0"/>
    </xf>
    <xf numFmtId="172" fontId="23" fillId="11" borderId="12" xfId="35" applyFont="1" applyFill="1" applyBorder="1" applyAlignment="1" applyProtection="1">
      <alignment horizontal="center" vertical="center"/>
      <protection locked="0"/>
    </xf>
    <xf numFmtId="0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/>
    </xf>
    <xf numFmtId="0" fontId="25" fillId="11" borderId="11" xfId="0" applyNumberFormat="1" applyFont="1" applyFill="1" applyBorder="1" applyAlignment="1" applyProtection="1">
      <alignment horizontal="center" vertical="center"/>
    </xf>
    <xf numFmtId="0" fontId="25" fillId="11" borderId="11" xfId="25" applyNumberFormat="1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 vertical="center" wrapText="1"/>
    </xf>
    <xf numFmtId="0" fontId="25" fillId="11" borderId="11" xfId="0" applyNumberFormat="1" applyFont="1" applyFill="1" applyBorder="1" applyAlignment="1" applyProtection="1">
      <alignment horizontal="center" wrapText="1"/>
    </xf>
    <xf numFmtId="0" fontId="25" fillId="11" borderId="8" xfId="25" applyNumberFormat="1" applyFont="1" applyFill="1" applyBorder="1" applyAlignment="1" applyProtection="1">
      <alignment horizontal="center" vertical="center" wrapText="1"/>
    </xf>
    <xf numFmtId="172" fontId="25" fillId="11" borderId="6" xfId="35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5" fillId="11" borderId="12" xfId="0" applyFont="1" applyFill="1" applyBorder="1" applyAlignment="1" applyProtection="1">
      <alignment horizontal="center" wrapText="1"/>
    </xf>
    <xf numFmtId="172" fontId="30" fillId="12" borderId="6" xfId="35" applyFont="1" applyFill="1" applyBorder="1" applyAlignment="1" applyProtection="1">
      <alignment horizontal="center"/>
      <protection locked="0"/>
    </xf>
    <xf numFmtId="0" fontId="25" fillId="11" borderId="2" xfId="0" applyNumberFormat="1" applyFont="1" applyFill="1" applyBorder="1" applyAlignment="1" applyProtection="1">
      <alignment horizontal="center" vertical="center"/>
    </xf>
    <xf numFmtId="172" fontId="23" fillId="11" borderId="8" xfId="35" applyFont="1" applyFill="1" applyBorder="1" applyAlignment="1" applyProtection="1">
      <alignment horizontal="center"/>
      <protection locked="0"/>
    </xf>
    <xf numFmtId="172" fontId="23" fillId="7" borderId="11" xfId="35" applyFont="1" applyFill="1" applyBorder="1" applyAlignment="1" applyProtection="1">
      <alignment horizontal="center"/>
    </xf>
    <xf numFmtId="0" fontId="25" fillId="11" borderId="12" xfId="0" applyFont="1" applyFill="1" applyBorder="1" applyAlignment="1" applyProtection="1">
      <alignment horizontal="center" vertical="center"/>
    </xf>
    <xf numFmtId="49" fontId="25" fillId="0" borderId="0" xfId="0" applyNumberFormat="1" applyFont="1" applyFill="1" applyBorder="1" applyAlignment="1" applyProtection="1">
      <alignment horizontal="center"/>
    </xf>
    <xf numFmtId="0" fontId="23" fillId="0" borderId="0" xfId="25" applyNumberFormat="1" applyFont="1" applyFill="1" applyBorder="1" applyAlignment="1" applyProtection="1">
      <alignment horizontal="center" wrapText="1"/>
    </xf>
    <xf numFmtId="0" fontId="26" fillId="11" borderId="2" xfId="0" applyFont="1" applyFill="1" applyBorder="1" applyAlignment="1" applyProtection="1">
      <alignment horizontal="center" vertical="center" wrapText="1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25" applyNumberFormat="1" applyFont="1" applyFill="1" applyBorder="1" applyAlignment="1" applyProtection="1">
      <alignment horizontal="center" wrapText="1"/>
    </xf>
    <xf numFmtId="0" fontId="25" fillId="11" borderId="2" xfId="0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/>
    </xf>
    <xf numFmtId="49" fontId="33" fillId="11" borderId="12" xfId="0" applyNumberFormat="1" applyFont="1" applyFill="1" applyBorder="1" applyAlignment="1" applyProtection="1">
      <alignment horizontal="center" vertical="center" wrapText="1"/>
    </xf>
    <xf numFmtId="0" fontId="33" fillId="11" borderId="10" xfId="0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1" borderId="16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8" xfId="0" applyNumberFormat="1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center" wrapText="1"/>
    </xf>
    <xf numFmtId="172" fontId="23" fillId="7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</xf>
    <xf numFmtId="172" fontId="23" fillId="11" borderId="6" xfId="35" applyFont="1" applyFill="1" applyBorder="1" applyAlignment="1" applyProtection="1">
      <alignment horizontal="center" wrapText="1"/>
      <protection locked="0"/>
    </xf>
    <xf numFmtId="172" fontId="25" fillId="11" borderId="12" xfId="35" applyFont="1" applyFill="1" applyBorder="1" applyAlignment="1" applyProtection="1">
      <alignment horizontal="center"/>
    </xf>
    <xf numFmtId="172" fontId="23" fillId="11" borderId="12" xfId="35" applyFont="1" applyFill="1" applyBorder="1" applyAlignment="1" applyProtection="1">
      <alignment horizontal="center" wrapText="1"/>
    </xf>
    <xf numFmtId="37" fontId="26" fillId="11" borderId="2" xfId="0" applyNumberFormat="1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 wrapText="1"/>
    </xf>
    <xf numFmtId="172" fontId="23" fillId="7" borderId="6" xfId="35" applyFont="1" applyFill="1" applyBorder="1" applyAlignment="1" applyProtection="1">
      <alignment horizontal="center" vertical="center"/>
    </xf>
    <xf numFmtId="172" fontId="23" fillId="8" borderId="6" xfId="35" applyFont="1" applyFill="1" applyBorder="1" applyAlignment="1" applyProtection="1">
      <alignment horizontal="center" vertical="center"/>
    </xf>
    <xf numFmtId="172" fontId="23" fillId="11" borderId="12" xfId="35" applyFont="1" applyFill="1" applyBorder="1" applyAlignment="1" applyProtection="1">
      <alignment horizontal="center" vertical="center"/>
    </xf>
    <xf numFmtId="172" fontId="23" fillId="11" borderId="12" xfId="35" applyFont="1" applyFill="1" applyBorder="1" applyAlignment="1" applyProtection="1">
      <alignment horizontal="center" vertical="center" wrapText="1"/>
    </xf>
    <xf numFmtId="172" fontId="23" fillId="11" borderId="12" xfId="35" applyFont="1" applyFill="1" applyBorder="1" applyAlignment="1" applyProtection="1">
      <alignment horizontal="center" vertical="top" wrapText="1"/>
      <protection locked="0"/>
    </xf>
    <xf numFmtId="172" fontId="23" fillId="11" borderId="11" xfId="35" applyNumberFormat="1" applyFont="1" applyFill="1" applyBorder="1" applyAlignment="1" applyProtection="1">
      <alignment horizontal="center" vertical="top" wrapText="1"/>
      <protection locked="0"/>
    </xf>
    <xf numFmtId="172" fontId="23" fillId="11" borderId="6" xfId="35" applyNumberFormat="1" applyFont="1" applyFill="1" applyBorder="1" applyAlignment="1" applyProtection="1">
      <alignment horizontal="center" vertical="top" wrapText="1"/>
      <protection locked="0"/>
    </xf>
    <xf numFmtId="172" fontId="23" fillId="11" borderId="8" xfId="35" applyNumberFormat="1" applyFont="1" applyFill="1" applyBorder="1" applyAlignment="1" applyProtection="1">
      <alignment horizontal="center" vertical="top" wrapText="1"/>
      <protection locked="0"/>
    </xf>
    <xf numFmtId="0" fontId="26" fillId="11" borderId="3" xfId="0" applyFont="1" applyFill="1" applyBorder="1" applyAlignment="1" applyProtection="1">
      <alignment horizontal="center" vertical="center" wrapText="1"/>
    </xf>
    <xf numFmtId="0" fontId="25" fillId="11" borderId="11" xfId="0" applyFont="1" applyFill="1" applyBorder="1" applyAlignment="1" applyProtection="1">
      <alignment horizontal="center" wrapText="1"/>
    </xf>
    <xf numFmtId="172" fontId="23" fillId="11" borderId="11" xfId="35" applyFont="1" applyFill="1" applyBorder="1" applyAlignment="1" applyProtection="1">
      <alignment horizontal="center" wrapText="1"/>
      <protection locked="0"/>
    </xf>
    <xf numFmtId="172" fontId="23" fillId="11" borderId="11" xfId="35" applyFont="1" applyFill="1" applyBorder="1" applyAlignment="1" applyProtection="1">
      <alignment horizontal="center" vertical="top" wrapText="1"/>
      <protection locked="0"/>
    </xf>
    <xf numFmtId="172" fontId="23" fillId="11" borderId="6" xfId="35" applyFont="1" applyFill="1" applyBorder="1" applyAlignment="1" applyProtection="1">
      <alignment horizontal="center" vertical="top" wrapText="1"/>
      <protection locked="0"/>
    </xf>
    <xf numFmtId="172" fontId="23" fillId="11" borderId="8" xfId="35" applyFont="1" applyFill="1" applyBorder="1" applyAlignment="1" applyProtection="1">
      <alignment horizontal="center" wrapText="1"/>
      <protection locked="0"/>
    </xf>
    <xf numFmtId="172" fontId="23" fillId="11" borderId="8" xfId="35" applyFont="1" applyFill="1" applyBorder="1" applyAlignment="1" applyProtection="1">
      <alignment horizontal="center" vertical="top" wrapText="1"/>
      <protection locked="0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1" borderId="5" xfId="0" applyFont="1" applyFill="1" applyBorder="1" applyAlignment="1" applyProtection="1">
      <alignment horizontal="center" vertical="center"/>
    </xf>
    <xf numFmtId="0" fontId="25" fillId="11" borderId="9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>
      <alignment horizontal="center" vertical="center"/>
    </xf>
    <xf numFmtId="172" fontId="23" fillId="0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  <protection locked="0"/>
    </xf>
    <xf numFmtId="172" fontId="23" fillId="0" borderId="12" xfId="35" applyFont="1" applyFill="1" applyBorder="1" applyAlignment="1" applyProtection="1">
      <alignment horizontal="center" vertical="center" wrapText="1"/>
    </xf>
    <xf numFmtId="37" fontId="26" fillId="11" borderId="3" xfId="0" applyNumberFormat="1" applyFont="1" applyFill="1" applyBorder="1" applyAlignment="1" applyProtection="1">
      <alignment horizontal="center" vertical="center"/>
    </xf>
    <xf numFmtId="37" fontId="25" fillId="11" borderId="2" xfId="0" applyNumberFormat="1" applyFont="1" applyFill="1" applyBorder="1" applyAlignment="1" applyProtection="1">
      <alignment horizontal="center" vertical="center" wrapText="1"/>
    </xf>
    <xf numFmtId="172" fontId="23" fillId="0" borderId="11" xfId="35" applyFont="1" applyFill="1" applyBorder="1" applyAlignment="1" applyProtection="1">
      <alignment horizontal="center"/>
    </xf>
    <xf numFmtId="172" fontId="23" fillId="0" borderId="6" xfId="35" applyFont="1" applyFill="1" applyBorder="1" applyAlignment="1" applyProtection="1">
      <alignment horizontal="center"/>
    </xf>
    <xf numFmtId="172" fontId="23" fillId="11" borderId="8" xfId="3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25" applyFont="1" applyFill="1" applyBorder="1" applyAlignment="1">
      <alignment horizontal="left" wrapText="1"/>
    </xf>
    <xf numFmtId="0" fontId="23" fillId="0" borderId="0" xfId="25" applyFont="1" applyFill="1" applyBorder="1" applyAlignment="1">
      <alignment horizontal="left"/>
    </xf>
    <xf numFmtId="172" fontId="23" fillId="11" borderId="11" xfId="35" applyNumberFormat="1" applyFont="1" applyFill="1" applyBorder="1" applyAlignment="1" applyProtection="1">
      <alignment horizontal="center"/>
      <protection locked="0"/>
    </xf>
    <xf numFmtId="0" fontId="23" fillId="11" borderId="3" xfId="0" applyFont="1" applyFill="1" applyBorder="1" applyAlignment="1" applyProtection="1">
      <alignment horizontal="center" vertical="center" wrapText="1"/>
    </xf>
    <xf numFmtId="0" fontId="38" fillId="11" borderId="11" xfId="0" applyFont="1" applyFill="1" applyBorder="1" applyAlignment="1" applyProtection="1">
      <alignment horizontal="center" wrapText="1"/>
      <protection locked="0"/>
    </xf>
    <xf numFmtId="49" fontId="23" fillId="11" borderId="13" xfId="0" applyNumberFormat="1" applyFont="1" applyFill="1" applyBorder="1" applyAlignment="1" applyProtection="1">
      <alignment horizontal="center" wrapText="1"/>
      <protection locked="0"/>
    </xf>
    <xf numFmtId="49" fontId="23" fillId="11" borderId="11" xfId="0" applyNumberFormat="1" applyFont="1" applyFill="1" applyBorder="1" applyAlignment="1" applyProtection="1">
      <alignment horizontal="center" wrapText="1"/>
      <protection locked="0"/>
    </xf>
    <xf numFmtId="0" fontId="23" fillId="11" borderId="8" xfId="0" applyFont="1" applyFill="1" applyBorder="1" applyAlignment="1" applyProtection="1">
      <alignment horizontal="center" vertical="center" wrapText="1"/>
    </xf>
    <xf numFmtId="49" fontId="23" fillId="11" borderId="5" xfId="0" applyNumberFormat="1" applyFont="1" applyFill="1" applyBorder="1" applyAlignment="1" applyProtection="1">
      <alignment horizontal="center" vertical="center" wrapText="1"/>
    </xf>
    <xf numFmtId="49" fontId="23" fillId="11" borderId="8" xfId="0" applyNumberFormat="1" applyFont="1" applyFill="1" applyBorder="1" applyAlignment="1" applyProtection="1">
      <alignment horizontal="center" vertical="center" wrapText="1"/>
    </xf>
    <xf numFmtId="172" fontId="23" fillId="0" borderId="12" xfId="0" applyNumberFormat="1" applyFont="1" applyFill="1" applyBorder="1" applyAlignment="1" applyProtection="1">
      <alignment horizontal="center"/>
    </xf>
    <xf numFmtId="0" fontId="26" fillId="11" borderId="3" xfId="0" applyFont="1" applyFill="1" applyBorder="1" applyAlignment="1" applyProtection="1">
      <alignment horizontal="center" vertical="center"/>
    </xf>
    <xf numFmtId="0" fontId="23" fillId="11" borderId="12" xfId="0" applyFont="1" applyFill="1" applyBorder="1" applyAlignment="1" applyProtection="1">
      <alignment horizontal="center" vertical="center" wrapText="1"/>
    </xf>
    <xf numFmtId="0" fontId="23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1" borderId="3" xfId="0" applyFont="1" applyFill="1" applyBorder="1" applyAlignment="1" applyProtection="1">
      <alignment horizontal="center" vertical="center"/>
    </xf>
    <xf numFmtId="0" fontId="39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 wrapText="1"/>
    </xf>
    <xf numFmtId="0" fontId="23" fillId="17" borderId="12" xfId="0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 wrapText="1"/>
    </xf>
    <xf numFmtId="0" fontId="23" fillId="17" borderId="26" xfId="0" applyFont="1" applyFill="1" applyBorder="1" applyAlignment="1">
      <alignment horizontal="center" vertical="center" wrapText="1"/>
    </xf>
    <xf numFmtId="175" fontId="23" fillId="16" borderId="11" xfId="0" applyNumberFormat="1" applyFont="1" applyFill="1" applyBorder="1" applyAlignment="1">
      <alignment horizontal="right" vertical="center"/>
    </xf>
    <xf numFmtId="175" fontId="23" fillId="12" borderId="21" xfId="0" applyNumberFormat="1" applyFont="1" applyFill="1" applyBorder="1" applyAlignment="1">
      <alignment horizontal="right" vertical="center"/>
    </xf>
    <xf numFmtId="40" fontId="23" fillId="4" borderId="21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horizontal="right" vertical="center"/>
    </xf>
    <xf numFmtId="40" fontId="23" fillId="12" borderId="21" xfId="0" applyNumberFormat="1" applyFont="1" applyFill="1" applyBorder="1" applyAlignment="1">
      <alignment horizontal="right" vertical="center"/>
    </xf>
    <xf numFmtId="40" fontId="23" fillId="4" borderId="21" xfId="0" applyNumberFormat="1" applyFont="1" applyFill="1" applyBorder="1" applyAlignment="1" applyProtection="1">
      <alignment vertical="center"/>
      <protection locked="0"/>
    </xf>
    <xf numFmtId="40" fontId="23" fillId="16" borderId="6" xfId="0" applyNumberFormat="1" applyFont="1" applyFill="1" applyBorder="1" applyAlignment="1">
      <alignment horizontal="right" vertical="center"/>
    </xf>
    <xf numFmtId="40" fontId="23" fillId="16" borderId="21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 vertical="center"/>
    </xf>
    <xf numFmtId="0" fontId="25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/>
    </xf>
    <xf numFmtId="0" fontId="23" fillId="17" borderId="8" xfId="0" applyFont="1" applyFill="1" applyBorder="1" applyAlignment="1">
      <alignment horizontal="center" vertical="center" wrapText="1"/>
    </xf>
    <xf numFmtId="0" fontId="23" fillId="17" borderId="25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177" fontId="23" fillId="17" borderId="12" xfId="0" applyNumberFormat="1" applyFont="1" applyFill="1" applyBorder="1" applyAlignment="1" applyProtection="1">
      <alignment horizontal="right" vertical="center"/>
      <protection locked="0"/>
    </xf>
    <xf numFmtId="3" fontId="25" fillId="17" borderId="12" xfId="0" applyNumberFormat="1" applyFont="1" applyFill="1" applyBorder="1" applyAlignment="1">
      <alignment horizontal="center" vertical="center"/>
    </xf>
    <xf numFmtId="3" fontId="23" fillId="17" borderId="12" xfId="0" applyNumberFormat="1" applyFont="1" applyFill="1" applyBorder="1" applyAlignment="1">
      <alignment horizontal="center" vertical="center"/>
    </xf>
    <xf numFmtId="40" fontId="23" fillId="0" borderId="12" xfId="0" applyNumberFormat="1" applyFont="1" applyBorder="1" applyAlignment="1" applyProtection="1">
      <alignment horizontal="right"/>
      <protection locked="0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1" xfId="0" applyFont="1" applyFill="1" applyBorder="1" applyAlignment="1">
      <alignment horizontal="center" wrapText="1"/>
    </xf>
    <xf numFmtId="49" fontId="23" fillId="17" borderId="11" xfId="0" applyNumberFormat="1" applyFont="1" applyFill="1" applyBorder="1" applyAlignment="1">
      <alignment horizontal="center" wrapText="1"/>
    </xf>
    <xf numFmtId="49" fontId="23" fillId="17" borderId="8" xfId="0" applyNumberFormat="1" applyFont="1" applyFill="1" applyBorder="1" applyAlignment="1">
      <alignment horizontal="center" vertical="center" wrapText="1"/>
    </xf>
    <xf numFmtId="40" fontId="23" fillId="0" borderId="21" xfId="0" applyNumberFormat="1" applyFont="1" applyBorder="1" applyAlignment="1" applyProtection="1">
      <alignment horizontal="right" vertical="center"/>
      <protection locked="0"/>
    </xf>
    <xf numFmtId="40" fontId="23" fillId="0" borderId="23" xfId="0" applyNumberFormat="1" applyFont="1" applyBorder="1" applyAlignment="1" applyProtection="1">
      <alignment horizontal="right" vertical="center"/>
      <protection locked="0"/>
    </xf>
    <xf numFmtId="40" fontId="23" fillId="0" borderId="22" xfId="0" applyNumberFormat="1" applyFont="1" applyBorder="1" applyAlignment="1" applyProtection="1">
      <alignment horizontal="right" vertical="center"/>
      <protection locked="0"/>
    </xf>
    <xf numFmtId="40" fontId="23" fillId="17" borderId="24" xfId="0" applyNumberFormat="1" applyFont="1" applyFill="1" applyBorder="1" applyAlignment="1" applyProtection="1">
      <alignment horizontal="right" vertical="center"/>
      <protection locked="0"/>
    </xf>
    <xf numFmtId="40" fontId="23" fillId="17" borderId="20" xfId="0" applyNumberFormat="1" applyFont="1" applyFill="1" applyBorder="1" applyAlignment="1" applyProtection="1">
      <alignment horizontal="right" vertical="center"/>
      <protection locked="0"/>
    </xf>
    <xf numFmtId="40" fontId="25" fillId="17" borderId="20" xfId="0" applyNumberFormat="1" applyFont="1" applyFill="1" applyBorder="1" applyAlignment="1" applyProtection="1">
      <alignment horizontal="right" vertical="center"/>
      <protection locked="0"/>
    </xf>
    <xf numFmtId="177" fontId="23" fillId="17" borderId="20" xfId="0" applyNumberFormat="1" applyFont="1" applyFill="1" applyBorder="1" applyAlignment="1" applyProtection="1">
      <alignment horizontal="right" vertical="center"/>
      <protection locked="0"/>
    </xf>
    <xf numFmtId="175" fontId="23" fillId="17" borderId="12" xfId="0" applyNumberFormat="1" applyFont="1" applyFill="1" applyBorder="1" applyAlignment="1">
      <alignment horizontal="center" vertical="center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17" borderId="11" xfId="0" applyNumberFormat="1" applyFont="1" applyFill="1" applyBorder="1" applyAlignment="1">
      <alignment horizontal="center" vertical="center"/>
    </xf>
    <xf numFmtId="3" fontId="23" fillId="17" borderId="8" xfId="0" applyNumberFormat="1" applyFont="1" applyFill="1" applyBorder="1" applyAlignment="1">
      <alignment horizontal="center" vertical="center"/>
    </xf>
    <xf numFmtId="0" fontId="26" fillId="17" borderId="12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/>
    </xf>
    <xf numFmtId="40" fontId="25" fillId="17" borderId="18" xfId="0" applyNumberFormat="1" applyFont="1" applyFill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 vertical="top" wrapText="1"/>
    </xf>
    <xf numFmtId="3" fontId="26" fillId="17" borderId="16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0" fontId="26" fillId="17" borderId="16" xfId="0" applyFont="1" applyFill="1" applyBorder="1" applyAlignment="1">
      <alignment horizontal="center" vertical="center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0" fontId="25" fillId="11" borderId="11" xfId="25" applyFont="1" applyFill="1" applyBorder="1" applyAlignment="1" applyProtection="1">
      <alignment horizontal="center" vertical="center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1" borderId="12" xfId="0" applyFont="1" applyFill="1" applyBorder="1" applyAlignment="1" applyProtection="1">
      <alignment horizontal="center" vertical="center"/>
    </xf>
    <xf numFmtId="0" fontId="24" fillId="0" borderId="0" xfId="25" applyFont="1" applyFill="1" applyBorder="1" applyAlignment="1" applyProtection="1">
      <alignment horizontal="left"/>
    </xf>
    <xf numFmtId="0" fontId="23" fillId="0" borderId="0" xfId="25" applyFont="1" applyFill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>
      <alignment horizontal="left"/>
    </xf>
    <xf numFmtId="0" fontId="25" fillId="0" borderId="0" xfId="25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10" fontId="12" fillId="0" borderId="0" xfId="29" applyNumberFormat="1" applyFont="1" applyFill="1" applyBorder="1" applyAlignment="1" applyProtection="1">
      <alignment horizontal="center" vertical="center" wrapText="1"/>
    </xf>
    <xf numFmtId="0" fontId="26" fillId="11" borderId="3" xfId="25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 vertical="center"/>
    </xf>
    <xf numFmtId="0" fontId="23" fillId="11" borderId="16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8" xfId="25" applyFont="1" applyFill="1" applyBorder="1" applyAlignment="1" applyProtection="1">
      <alignment horizontal="center"/>
    </xf>
    <xf numFmtId="172" fontId="23" fillId="0" borderId="6" xfId="25" applyNumberFormat="1" applyFont="1" applyFill="1" applyBorder="1" applyAlignment="1" applyProtection="1">
      <alignment horizontal="center"/>
    </xf>
    <xf numFmtId="172" fontId="23" fillId="0" borderId="12" xfId="25" applyNumberFormat="1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/>
    </xf>
    <xf numFmtId="0" fontId="23" fillId="0" borderId="2" xfId="25" applyFont="1" applyFill="1" applyBorder="1" applyAlignment="1" applyProtection="1">
      <alignment horizontal="left" vertical="top" wrapText="1"/>
    </xf>
    <xf numFmtId="172" fontId="23" fillId="0" borderId="12" xfId="35" applyFont="1" applyFill="1" applyBorder="1" applyAlignment="1" applyProtection="1">
      <alignment horizontal="center" vertical="top" wrapText="1"/>
    </xf>
    <xf numFmtId="0" fontId="25" fillId="3" borderId="16" xfId="25" applyFont="1" applyFill="1" applyBorder="1" applyAlignment="1" applyProtection="1">
      <alignment horizontal="center"/>
    </xf>
    <xf numFmtId="0" fontId="23" fillId="0" borderId="15" xfId="25" applyFont="1" applyFill="1" applyBorder="1" applyAlignment="1" applyProtection="1">
      <alignment horizontal="left" vertical="top" wrapText="1"/>
    </xf>
    <xf numFmtId="0" fontId="23" fillId="11" borderId="2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 vertical="center" wrapText="1"/>
    </xf>
    <xf numFmtId="0" fontId="23" fillId="11" borderId="16" xfId="25" applyFont="1" applyFill="1" applyBorder="1" applyAlignment="1" applyProtection="1">
      <alignment horizontal="center" vertical="center"/>
    </xf>
    <xf numFmtId="0" fontId="23" fillId="11" borderId="10" xfId="26" applyFont="1" applyFill="1" applyBorder="1" applyAlignment="1" applyProtection="1">
      <alignment horizontal="center" vertical="center" wrapText="1"/>
    </xf>
    <xf numFmtId="0" fontId="23" fillId="11" borderId="3" xfId="25" applyFont="1" applyFill="1" applyBorder="1" applyAlignment="1" applyProtection="1">
      <alignment horizontal="center" vertical="center" wrapText="1"/>
    </xf>
    <xf numFmtId="0" fontId="23" fillId="11" borderId="16" xfId="25" applyFont="1" applyFill="1" applyBorder="1" applyAlignment="1" applyProtection="1">
      <alignment horizontal="center" vertical="center" wrapText="1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0" xfId="35" applyFont="1" applyFill="1" applyBorder="1" applyAlignment="1" applyProtection="1">
      <alignment horizontal="center" vertical="top" wrapText="1"/>
    </xf>
    <xf numFmtId="172" fontId="23" fillId="11" borderId="7" xfId="35" applyFont="1" applyFill="1" applyBorder="1" applyAlignment="1" applyProtection="1">
      <alignment horizontal="center" vertical="top" wrapText="1"/>
      <protection locked="0"/>
    </xf>
    <xf numFmtId="0" fontId="23" fillId="0" borderId="0" xfId="25" applyFont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center" vertical="top" wrapText="1"/>
    </xf>
    <xf numFmtId="172" fontId="23" fillId="0" borderId="16" xfId="25" applyNumberFormat="1" applyFont="1" applyBorder="1" applyAlignment="1" applyProtection="1">
      <alignment horizontal="center" vertical="top" wrapText="1"/>
    </xf>
    <xf numFmtId="0" fontId="23" fillId="11" borderId="2" xfId="25" applyFont="1" applyFill="1" applyBorder="1" applyAlignment="1" applyProtection="1">
      <alignment horizontal="center" vertical="center" wrapText="1"/>
    </xf>
    <xf numFmtId="172" fontId="23" fillId="0" borderId="10" xfId="35" applyFont="1" applyFill="1" applyBorder="1" applyAlignment="1" applyProtection="1">
      <alignment horizontal="center"/>
    </xf>
    <xf numFmtId="10" fontId="23" fillId="0" borderId="7" xfId="29" applyNumberFormat="1" applyFont="1" applyFill="1" applyBorder="1" applyAlignment="1" applyProtection="1">
      <alignment horizontal="center"/>
    </xf>
    <xf numFmtId="0" fontId="23" fillId="0" borderId="5" xfId="25" applyFont="1" applyFill="1" applyBorder="1" applyAlignment="1" applyProtection="1">
      <alignment horizontal="left" vertical="top" wrapText="1"/>
    </xf>
    <xf numFmtId="10" fontId="23" fillId="0" borderId="9" xfId="25" applyNumberFormat="1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vertical="center" wrapText="1"/>
      <protection locked="0"/>
    </xf>
    <xf numFmtId="172" fontId="23" fillId="11" borderId="10" xfId="35" applyFont="1" applyFill="1" applyBorder="1" applyAlignment="1" applyProtection="1">
      <alignment horizontal="center"/>
      <protection locked="0"/>
    </xf>
    <xf numFmtId="0" fontId="23" fillId="0" borderId="5" xfId="25" applyFont="1" applyBorder="1" applyAlignment="1" applyProtection="1">
      <alignment horizontal="left" vertical="center" wrapText="1"/>
      <protection locked="0"/>
    </xf>
    <xf numFmtId="172" fontId="23" fillId="11" borderId="9" xfId="35" applyFont="1" applyFill="1" applyBorder="1" applyAlignment="1" applyProtection="1">
      <alignment horizontal="center"/>
      <protection locked="0"/>
    </xf>
    <xf numFmtId="0" fontId="26" fillId="11" borderId="15" xfId="25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 wrapText="1"/>
    </xf>
    <xf numFmtId="172" fontId="23" fillId="0" borderId="10" xfId="25" applyNumberFormat="1" applyFont="1" applyFill="1" applyBorder="1" applyAlignment="1" applyProtection="1">
      <alignment horizontal="center" vertical="center"/>
    </xf>
    <xf numFmtId="0" fontId="30" fillId="0" borderId="0" xfId="25" applyFont="1" applyBorder="1" applyAlignment="1" applyProtection="1">
      <alignment horizontal="left" vertical="center" wrapText="1"/>
    </xf>
    <xf numFmtId="172" fontId="23" fillId="0" borderId="7" xfId="35" applyFont="1" applyFill="1" applyBorder="1" applyAlignment="1" applyProtection="1">
      <alignment horizontal="center" vertical="center"/>
    </xf>
    <xf numFmtId="0" fontId="23" fillId="0" borderId="0" xfId="25" applyFont="1" applyBorder="1" applyAlignment="1" applyProtection="1">
      <alignment horizontal="left" vertical="center" wrapText="1"/>
    </xf>
    <xf numFmtId="0" fontId="23" fillId="0" borderId="15" xfId="25" applyFont="1" applyBorder="1" applyAlignment="1" applyProtection="1">
      <alignment horizontal="left" vertical="center" wrapText="1"/>
    </xf>
    <xf numFmtId="0" fontId="23" fillId="0" borderId="2" xfId="25" applyFont="1" applyBorder="1" applyAlignment="1" applyProtection="1">
      <alignment horizontal="left" vertical="top" wrapText="1"/>
    </xf>
    <xf numFmtId="172" fontId="23" fillId="0" borderId="16" xfId="25" applyNumberFormat="1" applyFont="1" applyFill="1" applyBorder="1" applyAlignment="1" applyProtection="1">
      <alignment horizontal="center"/>
    </xf>
    <xf numFmtId="172" fontId="12" fillId="0" borderId="16" xfId="25" applyNumberFormat="1" applyFont="1" applyFill="1" applyBorder="1" applyAlignment="1" applyProtection="1">
      <alignment horizontal="center"/>
    </xf>
    <xf numFmtId="0" fontId="23" fillId="0" borderId="2" xfId="25" applyFont="1" applyBorder="1" applyAlignment="1" applyProtection="1">
      <alignment horizontal="left" vertical="center" wrapText="1"/>
    </xf>
    <xf numFmtId="10" fontId="23" fillId="0" borderId="16" xfId="29" applyNumberFormat="1" applyFont="1" applyFill="1" applyBorder="1" applyAlignment="1" applyProtection="1">
      <alignment horizontal="center" vertical="center" wrapText="1"/>
    </xf>
    <xf numFmtId="0" fontId="26" fillId="11" borderId="14" xfId="25" applyFont="1" applyFill="1" applyBorder="1" applyAlignment="1" applyProtection="1">
      <alignment horizontal="center" vertical="center"/>
    </xf>
    <xf numFmtId="0" fontId="23" fillId="11" borderId="16" xfId="25" applyFont="1" applyFill="1" applyBorder="1" applyAlignment="1" applyProtection="1">
      <alignment horizontal="center" vertical="center"/>
      <protection locked="0"/>
    </xf>
    <xf numFmtId="0" fontId="23" fillId="0" borderId="13" xfId="25" applyFont="1" applyFill="1" applyBorder="1" applyAlignment="1" applyProtection="1">
      <alignment horizontal="left" vertical="center"/>
    </xf>
    <xf numFmtId="0" fontId="23" fillId="0" borderId="4" xfId="25" applyFont="1" applyFill="1" applyBorder="1" applyAlignment="1" applyProtection="1">
      <alignment horizontal="left" vertical="center"/>
    </xf>
    <xf numFmtId="172" fontId="23" fillId="11" borderId="7" xfId="35" applyFont="1" applyFill="1" applyBorder="1" applyAlignment="1" applyProtection="1">
      <alignment horizontal="center"/>
      <protection locked="0"/>
    </xf>
    <xf numFmtId="0" fontId="23" fillId="0" borderId="5" xfId="25" applyFont="1" applyFill="1" applyBorder="1" applyAlignment="1" applyProtection="1">
      <alignment horizontal="left" vertical="center"/>
    </xf>
    <xf numFmtId="0" fontId="23" fillId="11" borderId="12" xfId="25" applyNumberFormat="1" applyFont="1" applyFill="1" applyBorder="1" applyAlignment="1" applyProtection="1">
      <alignment horizontal="center" vertical="center"/>
    </xf>
    <xf numFmtId="0" fontId="23" fillId="0" borderId="11" xfId="25" applyFont="1" applyBorder="1" applyAlignment="1" applyProtection="1">
      <alignment horizontal="left" vertical="top" wrapText="1"/>
      <protection locked="0"/>
    </xf>
    <xf numFmtId="0" fontId="23" fillId="11" borderId="11" xfId="25" applyFont="1" applyFill="1" applyBorder="1" applyAlignment="1" applyProtection="1">
      <alignment horizontal="center" vertical="top" wrapText="1"/>
      <protection locked="0"/>
    </xf>
    <xf numFmtId="0" fontId="23" fillId="11" borderId="10" xfId="25" applyFont="1" applyFill="1" applyBorder="1" applyAlignment="1" applyProtection="1">
      <alignment horizontal="center" vertical="top" wrapText="1"/>
      <protection locked="0"/>
    </xf>
    <xf numFmtId="0" fontId="23" fillId="0" borderId="6" xfId="25" applyFont="1" applyBorder="1" applyAlignment="1" applyProtection="1">
      <alignment horizontal="left" vertical="top" wrapText="1"/>
    </xf>
    <xf numFmtId="0" fontId="23" fillId="11" borderId="6" xfId="25" applyFont="1" applyFill="1" applyBorder="1" applyAlignment="1" applyProtection="1">
      <alignment horizontal="center" vertical="top" wrapText="1"/>
      <protection locked="0"/>
    </xf>
    <xf numFmtId="0" fontId="23" fillId="11" borderId="7" xfId="25" applyFont="1" applyFill="1" applyBorder="1" applyAlignment="1" applyProtection="1">
      <alignment horizontal="center" vertical="top" wrapText="1"/>
      <protection locked="0"/>
    </xf>
    <xf numFmtId="172" fontId="23" fillId="0" borderId="4" xfId="35" applyFont="1" applyFill="1" applyBorder="1" applyAlignment="1" applyProtection="1">
      <alignment horizontal="center" vertical="top" wrapText="1"/>
    </xf>
    <xf numFmtId="172" fontId="23" fillId="0" borderId="0" xfId="35" applyFont="1" applyFill="1" applyBorder="1" applyAlignment="1" applyProtection="1">
      <alignment horizontal="center" vertical="top" wrapText="1"/>
    </xf>
    <xf numFmtId="0" fontId="23" fillId="11" borderId="6" xfId="25" applyFont="1" applyFill="1" applyBorder="1" applyAlignment="1" applyProtection="1">
      <alignment horizontal="center"/>
      <protection locked="0"/>
    </xf>
    <xf numFmtId="0" fontId="23" fillId="11" borderId="7" xfId="25" applyFont="1" applyFill="1" applyBorder="1" applyAlignment="1" applyProtection="1">
      <alignment horizontal="center"/>
      <protection locked="0"/>
    </xf>
    <xf numFmtId="0" fontId="23" fillId="0" borderId="6" xfId="25" applyNumberFormat="1" applyFont="1" applyBorder="1" applyAlignment="1" applyProtection="1">
      <alignment horizontal="left" vertical="top" wrapText="1"/>
    </xf>
    <xf numFmtId="0" fontId="23" fillId="11" borderId="4" xfId="25" applyFont="1" applyFill="1" applyBorder="1" applyAlignment="1" applyProtection="1">
      <alignment horizontal="center" vertical="top" wrapText="1"/>
      <protection locked="0"/>
    </xf>
    <xf numFmtId="0" fontId="23" fillId="0" borderId="8" xfId="25" applyNumberFormat="1" applyFont="1" applyBorder="1" applyAlignment="1" applyProtection="1">
      <alignment horizontal="left" vertical="top" wrapText="1"/>
    </xf>
    <xf numFmtId="172" fontId="23" fillId="0" borderId="5" xfId="35" applyFont="1" applyFill="1" applyBorder="1" applyAlignment="1" applyProtection="1">
      <alignment horizontal="center" vertical="top" wrapText="1"/>
    </xf>
    <xf numFmtId="172" fontId="23" fillId="0" borderId="15" xfId="35" applyFont="1" applyFill="1" applyBorder="1" applyAlignment="1" applyProtection="1">
      <alignment horizontal="center" vertical="top" wrapText="1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25" applyNumberFormat="1" applyFont="1" applyFill="1" applyBorder="1" applyAlignment="1" applyProtection="1">
      <alignment horizontal="left"/>
      <protection locked="0"/>
    </xf>
    <xf numFmtId="0" fontId="45" fillId="0" borderId="0" xfId="25" applyNumberFormat="1" applyFont="1" applyFill="1" applyBorder="1" applyAlignment="1" applyProtection="1">
      <alignment horizontal="left"/>
    </xf>
    <xf numFmtId="0" fontId="45" fillId="0" borderId="0" xfId="25" applyNumberFormat="1" applyFont="1" applyFill="1" applyBorder="1" applyAlignment="1" applyProtection="1">
      <alignment horizontal="left" wrapText="1"/>
    </xf>
    <xf numFmtId="0" fontId="24" fillId="0" borderId="0" xfId="25" applyFont="1" applyFill="1" applyBorder="1" applyAlignment="1" applyProtection="1">
      <alignment vertical="top" wrapText="1"/>
    </xf>
    <xf numFmtId="0" fontId="23" fillId="0" borderId="0" xfId="25" applyNumberFormat="1" applyFont="1" applyFill="1" applyBorder="1" applyAlignment="1" applyProtection="1"/>
    <xf numFmtId="49" fontId="23" fillId="0" borderId="0" xfId="25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5" applyFont="1" applyFill="1" applyBorder="1" applyAlignment="1" applyProtection="1"/>
    <xf numFmtId="0" fontId="39" fillId="0" borderId="0" xfId="25" applyNumberFormat="1" applyFont="1" applyFill="1" applyBorder="1" applyAlignment="1" applyProtection="1">
      <alignment horizontal="center"/>
    </xf>
    <xf numFmtId="0" fontId="25" fillId="11" borderId="15" xfId="25" applyFont="1" applyFill="1" applyBorder="1" applyAlignment="1" applyProtection="1">
      <alignment horizontal="center"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0" xfId="26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vertical="center"/>
    </xf>
    <xf numFmtId="0" fontId="23" fillId="0" borderId="12" xfId="25" applyFont="1" applyFill="1" applyBorder="1" applyAlignment="1" applyProtection="1">
      <alignment horizontal="center" vertical="center"/>
    </xf>
    <xf numFmtId="0" fontId="23" fillId="0" borderId="16" xfId="25" applyFont="1" applyFill="1" applyBorder="1" applyAlignment="1" applyProtection="1">
      <alignment horizontal="center" vertical="center"/>
    </xf>
    <xf numFmtId="0" fontId="23" fillId="0" borderId="4" xfId="25" applyFont="1" applyFill="1" applyBorder="1" applyAlignment="1" applyProtection="1">
      <alignment horizontal="left" wrapText="1"/>
    </xf>
    <xf numFmtId="172" fontId="0" fillId="11" borderId="10" xfId="35" applyFont="1" applyFill="1" applyBorder="1" applyAlignment="1" applyProtection="1">
      <alignment horizontal="center"/>
      <protection locked="0"/>
    </xf>
    <xf numFmtId="0" fontId="31" fillId="0" borderId="4" xfId="25" applyFont="1" applyFill="1" applyBorder="1" applyAlignment="1" applyProtection="1">
      <alignment horizontal="left" wrapText="1"/>
    </xf>
    <xf numFmtId="172" fontId="51" fillId="11" borderId="7" xfId="35" applyFont="1" applyFill="1" applyBorder="1" applyAlignment="1" applyProtection="1">
      <alignment horizontal="center"/>
      <protection locked="0"/>
    </xf>
    <xf numFmtId="172" fontId="0" fillId="11" borderId="7" xfId="35" applyFont="1" applyFill="1" applyBorder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25" applyFont="1" applyFill="1" applyBorder="1" applyAlignment="1" applyProtection="1">
      <alignment horizontal="left" wrapText="1"/>
    </xf>
    <xf numFmtId="172" fontId="0" fillId="11" borderId="9" xfId="35" applyFont="1" applyFill="1" applyBorder="1" applyAlignment="1" applyProtection="1">
      <alignment horizontal="center"/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6" xfId="35" applyFont="1" applyFill="1" applyBorder="1" applyAlignment="1" applyProtection="1">
      <alignment horizontal="center"/>
    </xf>
    <xf numFmtId="0" fontId="24" fillId="0" borderId="0" xfId="25" applyFont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right" vertical="top" wrapText="1"/>
    </xf>
    <xf numFmtId="0" fontId="25" fillId="0" borderId="0" xfId="25" applyFont="1" applyFill="1" applyBorder="1" applyAlignment="1" applyProtection="1">
      <alignment horizontal="left" vertical="top" wrapText="1"/>
    </xf>
    <xf numFmtId="0" fontId="26" fillId="11" borderId="12" xfId="25" applyFont="1" applyFill="1" applyBorder="1" applyAlignment="1" applyProtection="1">
      <alignment horizontal="center" vertical="center" wrapText="1"/>
    </xf>
    <xf numFmtId="0" fontId="25" fillId="11" borderId="11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1" borderId="8" xfId="25" applyFont="1" applyFill="1" applyBorder="1" applyAlignment="1" applyProtection="1">
      <alignment horizontal="center" vertical="top" wrapText="1"/>
    </xf>
    <xf numFmtId="0" fontId="23" fillId="0" borderId="16" xfId="25" applyFont="1" applyBorder="1" applyAlignment="1" applyProtection="1">
      <alignment horizontal="right" vertical="top" wrapText="1"/>
    </xf>
    <xf numFmtId="0" fontId="25" fillId="11" borderId="12" xfId="25" applyFont="1" applyFill="1" applyBorder="1" applyAlignment="1" applyProtection="1">
      <alignment horizontal="center" vertical="center" wrapText="1"/>
    </xf>
    <xf numFmtId="0" fontId="25" fillId="11" borderId="10" xfId="25" applyFont="1" applyFill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right" vertical="top" wrapText="1"/>
      <protection locked="0"/>
    </xf>
    <xf numFmtId="0" fontId="25" fillId="11" borderId="8" xfId="25" applyFont="1" applyFill="1" applyBorder="1" applyAlignment="1" applyProtection="1">
      <alignment horizontal="center" vertical="top"/>
    </xf>
    <xf numFmtId="172" fontId="23" fillId="11" borderId="11" xfId="35" applyFont="1" applyFill="1" applyBorder="1" applyAlignment="1" applyProtection="1">
      <alignment horizontal="right" vertical="top" wrapText="1"/>
      <protection locked="0"/>
    </xf>
    <xf numFmtId="172" fontId="23" fillId="11" borderId="12" xfId="25" applyNumberFormat="1" applyFont="1" applyFill="1" applyBorder="1" applyAlignment="1" applyProtection="1">
      <alignment horizontal="center" vertical="center" wrapText="1"/>
    </xf>
    <xf numFmtId="172" fontId="23" fillId="11" borderId="16" xfId="25" applyNumberFormat="1" applyFont="1" applyFill="1" applyBorder="1" applyAlignment="1" applyProtection="1">
      <alignment horizontal="center" vertical="center" wrapText="1"/>
    </xf>
    <xf numFmtId="0" fontId="23" fillId="14" borderId="12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left" vertical="top" wrapText="1"/>
      <protection locked="0"/>
    </xf>
    <xf numFmtId="0" fontId="23" fillId="0" borderId="0" xfId="25" applyFont="1" applyBorder="1" applyAlignment="1" applyProtection="1">
      <alignment horizontal="justify" vertical="top" wrapText="1"/>
    </xf>
    <xf numFmtId="0" fontId="45" fillId="0" borderId="0" xfId="25" applyFont="1" applyBorder="1" applyAlignment="1" applyProtection="1">
      <alignment horizontal="justify" vertical="top" wrapText="1"/>
    </xf>
    <xf numFmtId="172" fontId="23" fillId="0" borderId="12" xfId="35" applyFont="1" applyFill="1" applyBorder="1" applyAlignment="1" applyProtection="1">
      <alignment horizontal="right" vertical="top" wrapText="1"/>
    </xf>
    <xf numFmtId="0" fontId="53" fillId="1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>
      <alignment horizontal="center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72" fontId="15" fillId="11" borderId="11" xfId="35" applyFont="1" applyFill="1" applyBorder="1" applyAlignment="1" applyProtection="1">
      <alignment horizontal="center"/>
      <protection locked="0"/>
    </xf>
    <xf numFmtId="172" fontId="15" fillId="0" borderId="11" xfId="35" applyFont="1" applyFill="1" applyBorder="1" applyAlignment="1" applyProtection="1">
      <alignment horizontal="center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72" fontId="15" fillId="11" borderId="6" xfId="35" applyFont="1" applyFill="1" applyBorder="1" applyAlignment="1" applyProtection="1">
      <alignment horizontal="center"/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11" borderId="6" xfId="35" applyFont="1" applyFill="1" applyBorder="1" applyAlignment="1" applyProtection="1">
      <alignment horizontal="center" vertical="center"/>
      <protection locked="0"/>
    </xf>
    <xf numFmtId="172" fontId="15" fillId="11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25" applyFont="1" applyFill="1" applyBorder="1" applyAlignment="1" applyProtection="1">
      <alignment horizontal="left"/>
    </xf>
    <xf numFmtId="0" fontId="37" fillId="0" borderId="0" xfId="25" applyFont="1" applyFill="1" applyBorder="1" applyAlignment="1" applyProtection="1">
      <alignment horizontal="left"/>
    </xf>
    <xf numFmtId="0" fontId="54" fillId="11" borderId="2" xfId="25" applyFont="1" applyFill="1" applyBorder="1" applyAlignment="1" applyProtection="1">
      <alignment horizontal="center" vertical="center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49" fontId="54" fillId="11" borderId="2" xfId="25" applyNumberFormat="1" applyFont="1" applyFill="1" applyBorder="1" applyAlignment="1" applyProtection="1">
      <alignment horizontal="center" vertical="center"/>
    </xf>
    <xf numFmtId="0" fontId="37" fillId="11" borderId="11" xfId="25" applyNumberFormat="1" applyFont="1" applyFill="1" applyBorder="1" applyAlignment="1" applyProtection="1">
      <alignment horizontal="center"/>
      <protection locked="0"/>
    </xf>
    <xf numFmtId="37" fontId="37" fillId="11" borderId="15" xfId="25" applyNumberFormat="1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center" wrapText="1"/>
      <protection locked="0"/>
    </xf>
    <xf numFmtId="0" fontId="15" fillId="0" borderId="0" xfId="25" applyFont="1" applyFill="1" applyBorder="1" applyAlignment="1" applyProtection="1">
      <alignment horizontal="justify" wrapText="1"/>
    </xf>
    <xf numFmtId="0" fontId="15" fillId="0" borderId="0" xfId="25" applyFont="1" applyFill="1" applyBorder="1" applyAlignment="1" applyProtection="1">
      <alignment horizontal="justify"/>
    </xf>
    <xf numFmtId="0" fontId="56" fillId="0" borderId="0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/>
    </xf>
    <xf numFmtId="0" fontId="56" fillId="10" borderId="15" xfId="0" applyFont="1" applyFill="1" applyBorder="1" applyAlignment="1" applyProtection="1">
      <alignment horizontal="left"/>
    </xf>
    <xf numFmtId="0" fontId="58" fillId="11" borderId="12" xfId="0" applyFont="1" applyFill="1" applyBorder="1" applyAlignment="1" applyProtection="1">
      <alignment horizontal="center" vertical="center" wrapText="1"/>
    </xf>
    <xf numFmtId="0" fontId="58" fillId="11" borderId="16" xfId="0" applyFont="1" applyFill="1" applyBorder="1" applyAlignment="1" applyProtection="1">
      <alignment horizontal="center"/>
    </xf>
    <xf numFmtId="0" fontId="58" fillId="11" borderId="11" xfId="0" applyFont="1" applyFill="1" applyBorder="1" applyAlignment="1" applyProtection="1">
      <alignment horizontal="center"/>
    </xf>
    <xf numFmtId="0" fontId="58" fillId="11" borderId="10" xfId="0" applyFont="1" applyFill="1" applyBorder="1" applyAlignment="1" applyProtection="1">
      <alignment horizontal="center"/>
    </xf>
    <xf numFmtId="0" fontId="58" fillId="11" borderId="8" xfId="0" applyFont="1" applyFill="1" applyBorder="1" applyAlignment="1" applyProtection="1">
      <alignment horizontal="center"/>
    </xf>
    <xf numFmtId="0" fontId="58" fillId="11" borderId="9" xfId="0" applyFont="1" applyFill="1" applyBorder="1" applyAlignment="1" applyProtection="1">
      <alignment horizontal="center"/>
    </xf>
    <xf numFmtId="172" fontId="56" fillId="0" borderId="11" xfId="35" applyFont="1" applyFill="1" applyBorder="1" applyAlignment="1" applyProtection="1">
      <alignment horizontal="center"/>
    </xf>
    <xf numFmtId="10" fontId="23" fillId="0" borderId="7" xfId="29" applyNumberFormat="1" applyFont="1" applyFill="1" applyBorder="1" applyAlignment="1" applyProtection="1">
      <alignment horizontal="center" vertical="center"/>
    </xf>
    <xf numFmtId="172" fontId="56" fillId="11" borderId="6" xfId="35" applyFont="1" applyFill="1" applyBorder="1" applyAlignment="1" applyProtection="1">
      <alignment horizontal="center"/>
      <protection locked="0"/>
    </xf>
    <xf numFmtId="172" fontId="56" fillId="0" borderId="6" xfId="35" applyFont="1" applyFill="1" applyBorder="1" applyAlignment="1" applyProtection="1">
      <alignment horizontal="center"/>
    </xf>
    <xf numFmtId="172" fontId="58" fillId="0" borderId="12" xfId="35" applyFont="1" applyFill="1" applyBorder="1" applyAlignment="1" applyProtection="1">
      <alignment horizontal="center" vertical="center"/>
    </xf>
    <xf numFmtId="10" fontId="23" fillId="0" borderId="16" xfId="29" applyNumberFormat="1" applyFont="1" applyFill="1" applyBorder="1" applyAlignment="1" applyProtection="1">
      <alignment horizontal="center" vertical="center"/>
    </xf>
    <xf numFmtId="0" fontId="60" fillId="11" borderId="3" xfId="0" applyFont="1" applyFill="1" applyBorder="1" applyAlignment="1" applyProtection="1">
      <alignment horizontal="center" vertical="center"/>
    </xf>
    <xf numFmtId="172" fontId="58" fillId="0" borderId="12" xfId="35" applyFont="1" applyFill="1" applyBorder="1" applyAlignment="1" applyProtection="1">
      <alignment horizontal="center"/>
    </xf>
    <xf numFmtId="0" fontId="60" fillId="11" borderId="13" xfId="0" applyFont="1" applyFill="1" applyBorder="1" applyAlignment="1" applyProtection="1">
      <alignment horizontal="center" vertical="center"/>
    </xf>
    <xf numFmtId="0" fontId="58" fillId="11" borderId="16" xfId="0" applyFont="1" applyFill="1" applyBorder="1" applyAlignment="1" applyProtection="1">
      <alignment horizontal="center" vertical="center"/>
    </xf>
    <xf numFmtId="0" fontId="58" fillId="11" borderId="16" xfId="25" applyFont="1" applyFill="1" applyBorder="1" applyAlignment="1" applyProtection="1">
      <alignment horizontal="center" vertical="center" wrapText="1"/>
    </xf>
    <xf numFmtId="0" fontId="55" fillId="0" borderId="3" xfId="0" applyFont="1" applyFill="1" applyBorder="1" applyAlignment="1" applyProtection="1">
      <alignment horizontal="center" vertical="center"/>
    </xf>
    <xf numFmtId="0" fontId="60" fillId="11" borderId="2" xfId="0" applyFont="1" applyFill="1" applyBorder="1" applyAlignment="1" applyProtection="1">
      <alignment horizontal="center" vertical="center" wrapText="1"/>
    </xf>
    <xf numFmtId="0" fontId="58" fillId="11" borderId="2" xfId="0" applyFont="1" applyFill="1" applyBorder="1" applyAlignment="1" applyProtection="1">
      <alignment horizontal="left" vertical="center" wrapText="1"/>
    </xf>
    <xf numFmtId="10" fontId="63" fillId="10" borderId="16" xfId="29" applyNumberFormat="1" applyFont="1" applyFill="1" applyBorder="1" applyAlignment="1" applyProtection="1">
      <alignment horizontal="center" vertical="center" wrapText="1"/>
    </xf>
    <xf numFmtId="172" fontId="56" fillId="10" borderId="16" xfId="35" applyFont="1" applyFill="1" applyBorder="1" applyAlignment="1" applyProtection="1">
      <alignment horizontal="center" vertical="center"/>
    </xf>
    <xf numFmtId="0" fontId="58" fillId="11" borderId="16" xfId="0" applyFont="1" applyFill="1" applyBorder="1" applyAlignment="1" applyProtection="1">
      <alignment horizontal="center" vertical="center" wrapText="1"/>
    </xf>
    <xf numFmtId="0" fontId="58" fillId="10" borderId="13" xfId="0" applyFont="1" applyFill="1" applyBorder="1" applyAlignment="1" applyProtection="1">
      <alignment horizontal="left" wrapText="1"/>
      <protection locked="0"/>
    </xf>
    <xf numFmtId="172" fontId="56" fillId="11" borderId="10" xfId="35" applyFont="1" applyFill="1" applyBorder="1" applyAlignment="1" applyProtection="1">
      <alignment horizontal="center"/>
      <protection locked="0"/>
    </xf>
    <xf numFmtId="0" fontId="58" fillId="10" borderId="4" xfId="0" applyFont="1" applyFill="1" applyBorder="1" applyAlignment="1" applyProtection="1">
      <alignment horizontal="left" wrapText="1"/>
      <protection locked="0"/>
    </xf>
    <xf numFmtId="172" fontId="56" fillId="11" borderId="7" xfId="35" applyFont="1" applyFill="1" applyBorder="1" applyAlignment="1" applyProtection="1">
      <alignment horizontal="center"/>
      <protection locked="0"/>
    </xf>
    <xf numFmtId="0" fontId="58" fillId="10" borderId="5" xfId="0" applyFont="1" applyFill="1" applyBorder="1" applyAlignment="1" applyProtection="1">
      <alignment horizontal="left" wrapText="1"/>
    </xf>
    <xf numFmtId="172" fontId="58" fillId="0" borderId="9" xfId="35" applyFont="1" applyFill="1" applyBorder="1" applyAlignment="1" applyProtection="1">
      <alignment horizontal="center" vertical="center" wrapText="1"/>
    </xf>
    <xf numFmtId="0" fontId="58" fillId="11" borderId="2" xfId="0" applyFont="1" applyFill="1" applyBorder="1" applyAlignment="1" applyProtection="1">
      <alignment horizontal="center" vertical="center" wrapText="1"/>
    </xf>
    <xf numFmtId="0" fontId="58" fillId="11" borderId="9" xfId="0" applyFont="1" applyFill="1" applyBorder="1" applyAlignment="1" applyProtection="1">
      <alignment horizontal="center" vertical="center" wrapText="1"/>
    </xf>
    <xf numFmtId="0" fontId="58" fillId="11" borderId="7" xfId="0" applyFont="1" applyFill="1" applyBorder="1" applyAlignment="1" applyProtection="1">
      <alignment horizontal="center" vertical="center" wrapText="1"/>
    </xf>
    <xf numFmtId="172" fontId="58" fillId="11" borderId="10" xfId="35" applyFont="1" applyFill="1" applyBorder="1" applyAlignment="1" applyProtection="1">
      <alignment horizontal="center" vertical="center" wrapText="1"/>
      <protection locked="0"/>
    </xf>
    <xf numFmtId="172" fontId="58" fillId="11" borderId="7" xfId="35" applyFont="1" applyFill="1" applyBorder="1" applyAlignment="1" applyProtection="1">
      <alignment horizontal="center" vertical="center" wrapText="1"/>
      <protection locked="0"/>
    </xf>
    <xf numFmtId="172" fontId="58" fillId="10" borderId="9" xfId="35" applyFont="1" applyFill="1" applyBorder="1" applyAlignment="1" applyProtection="1">
      <alignment horizontal="center" vertical="center" wrapText="1"/>
    </xf>
    <xf numFmtId="0" fontId="58" fillId="11" borderId="10" xfId="0" applyFont="1" applyFill="1" applyBorder="1" applyAlignment="1" applyProtection="1">
      <alignment horizontal="center" vertical="center" wrapText="1"/>
    </xf>
    <xf numFmtId="172" fontId="58" fillId="11" borderId="10" xfId="35" applyFont="1" applyFill="1" applyBorder="1" applyAlignment="1" applyProtection="1">
      <alignment horizontal="center" vertical="center"/>
      <protection locked="0"/>
    </xf>
    <xf numFmtId="172" fontId="58" fillId="11" borderId="7" xfId="35" applyFont="1" applyFill="1" applyBorder="1" applyAlignment="1" applyProtection="1">
      <alignment horizontal="center" vertical="center"/>
      <protection locked="0"/>
    </xf>
    <xf numFmtId="0" fontId="56" fillId="0" borderId="14" xfId="0" applyNumberFormat="1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 vertical="center" wrapText="1"/>
    </xf>
    <xf numFmtId="0" fontId="58" fillId="10" borderId="15" xfId="0" applyFont="1" applyFill="1" applyBorder="1" applyAlignment="1" applyProtection="1"/>
    <xf numFmtId="0" fontId="56" fillId="0" borderId="0" xfId="25" applyNumberFormat="1" applyFont="1" applyFill="1" applyBorder="1" applyAlignment="1" applyProtection="1">
      <alignment horizontal="left"/>
    </xf>
    <xf numFmtId="0" fontId="58" fillId="0" borderId="0" xfId="25" applyNumberFormat="1" applyFont="1" applyFill="1" applyBorder="1" applyAlignment="1" applyProtection="1">
      <alignment horizontal="left"/>
    </xf>
    <xf numFmtId="0" fontId="58" fillId="11" borderId="12" xfId="25" applyFont="1" applyFill="1" applyBorder="1" applyAlignment="1" applyProtection="1">
      <alignment horizontal="center" vertical="center" wrapText="1"/>
    </xf>
    <xf numFmtId="0" fontId="58" fillId="11" borderId="16" xfId="25" applyFont="1" applyFill="1" applyBorder="1" applyAlignment="1" applyProtection="1">
      <alignment horizontal="center"/>
    </xf>
    <xf numFmtId="0" fontId="60" fillId="11" borderId="2" xfId="25" applyFont="1" applyFill="1" applyBorder="1" applyAlignment="1" applyProtection="1">
      <alignment horizontal="center" vertical="center" wrapText="1"/>
    </xf>
    <xf numFmtId="0" fontId="58" fillId="11" borderId="16" xfId="25" applyFont="1" applyFill="1" applyBorder="1" applyAlignment="1" applyProtection="1">
      <alignment horizontal="center" vertical="top" wrapText="1"/>
    </xf>
    <xf numFmtId="0" fontId="56" fillId="10" borderId="4" xfId="25" applyFont="1" applyFill="1" applyBorder="1" applyAlignment="1" applyProtection="1">
      <alignment horizontal="left" wrapText="1"/>
    </xf>
    <xf numFmtId="0" fontId="56" fillId="10" borderId="5" xfId="25" applyFont="1" applyFill="1" applyBorder="1" applyAlignment="1" applyProtection="1">
      <alignment horizontal="left" wrapText="1"/>
    </xf>
    <xf numFmtId="0" fontId="59" fillId="0" borderId="3" xfId="25" applyFont="1" applyFill="1" applyBorder="1" applyAlignment="1" applyProtection="1">
      <alignment horizontal="center"/>
    </xf>
    <xf numFmtId="172" fontId="56" fillId="11" borderId="8" xfId="35" applyFont="1" applyFill="1" applyBorder="1" applyAlignment="1" applyProtection="1">
      <alignment horizontal="center"/>
      <protection locked="0"/>
    </xf>
    <xf numFmtId="172" fontId="56" fillId="0" borderId="12" xfId="25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74" fontId="15" fillId="0" borderId="0" xfId="0" applyNumberFormat="1" applyFont="1" applyFill="1" applyBorder="1" applyAlignment="1" applyProtection="1">
      <alignment horizontal="right" vertical="top" wrapText="1"/>
    </xf>
    <xf numFmtId="0" fontId="54" fillId="11" borderId="14" xfId="0" applyFont="1" applyFill="1" applyBorder="1" applyAlignment="1" applyProtection="1">
      <alignment horizontal="center" vertical="center" wrapText="1"/>
    </xf>
    <xf numFmtId="0" fontId="37" fillId="11" borderId="11" xfId="0" applyFont="1" applyFill="1" applyBorder="1" applyAlignment="1" applyProtection="1">
      <alignment horizontal="center" vertical="top"/>
    </xf>
    <xf numFmtId="0" fontId="37" fillId="11" borderId="14" xfId="0" applyFont="1" applyFill="1" applyBorder="1" applyAlignment="1" applyProtection="1">
      <alignment horizontal="right" vertical="top" wrapText="1"/>
    </xf>
    <xf numFmtId="0" fontId="37" fillId="11" borderId="8" xfId="0" applyFont="1" applyFill="1" applyBorder="1" applyAlignment="1" applyProtection="1">
      <alignment horizontal="center" vertical="top" wrapText="1"/>
    </xf>
    <xf numFmtId="0" fontId="37" fillId="11" borderId="2" xfId="0" applyFont="1" applyFill="1" applyBorder="1" applyAlignment="1" applyProtection="1">
      <alignment horizontal="center" vertical="center" wrapText="1"/>
    </xf>
    <xf numFmtId="0" fontId="37" fillId="11" borderId="16" xfId="0" applyFont="1" applyFill="1" applyBorder="1" applyAlignment="1" applyProtection="1">
      <alignment horizontal="center" vertical="center" wrapText="1"/>
    </xf>
    <xf numFmtId="172" fontId="15" fillId="0" borderId="6" xfId="35" applyFont="1" applyFill="1" applyBorder="1" applyAlignment="1" applyProtection="1">
      <alignment horizontal="left" vertical="top"/>
    </xf>
    <xf numFmtId="172" fontId="15" fillId="0" borderId="11" xfId="35" applyFont="1" applyFill="1" applyBorder="1" applyAlignment="1" applyProtection="1">
      <alignment horizontal="center" vertical="top"/>
    </xf>
    <xf numFmtId="172" fontId="15" fillId="0" borderId="7" xfId="35" applyFont="1" applyFill="1" applyBorder="1" applyAlignment="1" applyProtection="1">
      <alignment horizontal="center" vertical="top"/>
    </xf>
    <xf numFmtId="172" fontId="15" fillId="11" borderId="6" xfId="35" applyNumberFormat="1" applyFont="1" applyFill="1" applyBorder="1" applyAlignment="1" applyProtection="1">
      <alignment horizontal="left" vertical="top"/>
      <protection locked="0"/>
    </xf>
    <xf numFmtId="172" fontId="15" fillId="11" borderId="8" xfId="35" applyNumberFormat="1" applyFont="1" applyFill="1" applyBorder="1" applyAlignment="1" applyProtection="1">
      <alignment horizontal="center" vertical="top"/>
      <protection locked="0"/>
    </xf>
    <xf numFmtId="172" fontId="15" fillId="11" borderId="7" xfId="35" applyNumberFormat="1" applyFont="1" applyFill="1" applyBorder="1" applyAlignment="1" applyProtection="1">
      <alignment horizontal="center" vertical="top"/>
      <protection locked="0"/>
    </xf>
    <xf numFmtId="172" fontId="15" fillId="0" borderId="11" xfId="35" applyFont="1" applyFill="1" applyBorder="1" applyAlignment="1" applyProtection="1">
      <alignment horizontal="left" vertical="top"/>
    </xf>
    <xf numFmtId="172" fontId="15" fillId="0" borderId="6" xfId="35" applyFont="1" applyFill="1" applyBorder="1" applyAlignment="1" applyProtection="1">
      <alignment horizontal="center" vertical="top"/>
    </xf>
    <xf numFmtId="172" fontId="15" fillId="0" borderId="10" xfId="35" applyFont="1" applyFill="1" applyBorder="1" applyAlignment="1" applyProtection="1">
      <alignment horizontal="center" vertical="top"/>
    </xf>
    <xf numFmtId="172" fontId="15" fillId="11" borderId="6" xfId="35" applyNumberFormat="1" applyFont="1" applyFill="1" applyBorder="1" applyAlignment="1" applyProtection="1">
      <alignment horizontal="center" vertical="top"/>
      <protection locked="0"/>
    </xf>
    <xf numFmtId="172" fontId="15" fillId="11" borderId="8" xfId="35" applyNumberFormat="1" applyFont="1" applyFill="1" applyBorder="1" applyAlignment="1" applyProtection="1">
      <alignment horizontal="left" vertical="top"/>
      <protection locked="0"/>
    </xf>
    <xf numFmtId="172" fontId="15" fillId="11" borderId="9" xfId="35" applyNumberFormat="1" applyFont="1" applyFill="1" applyBorder="1" applyAlignment="1" applyProtection="1">
      <alignment horizontal="center" vertical="top"/>
      <protection locked="0"/>
    </xf>
    <xf numFmtId="172" fontId="15" fillId="11" borderId="6" xfId="35" applyNumberFormat="1" applyFont="1" applyFill="1" applyBorder="1" applyAlignment="1" applyProtection="1">
      <alignment horizontal="center" vertical="center"/>
      <protection locked="0"/>
    </xf>
    <xf numFmtId="172" fontId="15" fillId="11" borderId="7" xfId="35" applyNumberFormat="1" applyFont="1" applyFill="1" applyBorder="1" applyAlignment="1" applyProtection="1">
      <alignment horizontal="center" vertical="center"/>
      <protection locked="0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64" fillId="23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/>
    <xf numFmtId="0" fontId="37" fillId="11" borderId="12" xfId="0" applyFont="1" applyFill="1" applyBorder="1" applyAlignment="1" applyProtection="1">
      <alignment horizontal="center" vertical="center"/>
    </xf>
    <xf numFmtId="172" fontId="15" fillId="11" borderId="4" xfId="35" applyFont="1" applyFill="1" applyBorder="1" applyAlignment="1" applyProtection="1">
      <alignment horizontal="center"/>
      <protection locked="0"/>
    </xf>
    <xf numFmtId="0" fontId="37" fillId="11" borderId="11" xfId="0" applyFont="1" applyFill="1" applyBorder="1" applyAlignment="1" applyProtection="1">
      <alignment horizontal="center" vertical="center"/>
    </xf>
    <xf numFmtId="0" fontId="37" fillId="11" borderId="2" xfId="0" applyFont="1" applyFill="1" applyBorder="1" applyAlignment="1" applyProtection="1">
      <alignment horizontal="center" vertical="center"/>
    </xf>
    <xf numFmtId="172" fontId="15" fillId="11" borderId="12" xfId="35" applyFont="1" applyFill="1" applyBorder="1" applyAlignment="1" applyProtection="1">
      <alignment horizontal="center"/>
      <protection locked="0"/>
    </xf>
    <xf numFmtId="0" fontId="37" fillId="11" borderId="6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/>
    </xf>
    <xf numFmtId="10" fontId="15" fillId="0" borderId="11" xfId="29" applyNumberFormat="1" applyFont="1" applyFill="1" applyBorder="1" applyAlignment="1" applyProtection="1">
      <alignment horizontal="center"/>
    </xf>
    <xf numFmtId="10" fontId="15" fillId="0" borderId="8" xfId="29" applyNumberFormat="1" applyFont="1" applyFill="1" applyBorder="1" applyAlignment="1" applyProtection="1">
      <alignment horizontal="center"/>
    </xf>
    <xf numFmtId="0" fontId="37" fillId="11" borderId="12" xfId="0" applyFont="1" applyFill="1" applyBorder="1" applyAlignment="1" applyProtection="1">
      <alignment horizontal="center" vertical="center" wrapText="1"/>
    </xf>
    <xf numFmtId="0" fontId="37" fillId="11" borderId="12" xfId="0" applyFont="1" applyFill="1" applyBorder="1" applyAlignment="1" applyProtection="1">
      <alignment horizontal="center"/>
    </xf>
    <xf numFmtId="10" fontId="15" fillId="11" borderId="11" xfId="29" applyNumberFormat="1" applyFont="1" applyFill="1" applyBorder="1" applyAlignment="1" applyProtection="1">
      <alignment horizontal="center"/>
      <protection locked="0"/>
    </xf>
    <xf numFmtId="10" fontId="15" fillId="11" borderId="6" xfId="29" applyNumberFormat="1" applyFont="1" applyFill="1" applyBorder="1" applyAlignment="1" applyProtection="1">
      <alignment horizontal="center"/>
      <protection locked="0"/>
    </xf>
    <xf numFmtId="10" fontId="15" fillId="11" borderId="8" xfId="29" applyNumberFormat="1" applyFont="1" applyFill="1" applyBorder="1" applyAlignment="1" applyProtection="1">
      <alignment horizontal="center"/>
      <protection locked="0"/>
    </xf>
    <xf numFmtId="10" fontId="15" fillId="11" borderId="12" xfId="29" applyNumberFormat="1" applyFont="1" applyFill="1" applyBorder="1" applyAlignment="1" applyProtection="1">
      <alignment horizontal="center"/>
      <protection locked="0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</cellXfs>
  <cellStyles count="39">
    <cellStyle name="Accent 1 1" xfId="1"/>
    <cellStyle name="Accent 1 2" xfId="2"/>
    <cellStyle name="Accent 2 1" xfId="3"/>
    <cellStyle name="Accent 2 2" xfId="4"/>
    <cellStyle name="Accent 3 1" xfId="5"/>
    <cellStyle name="Accent 3 2" xfId="6"/>
    <cellStyle name="Accent 4" xfId="7"/>
    <cellStyle name="Accent 5" xfId="8"/>
    <cellStyle name="Bad 1" xfId="9"/>
    <cellStyle name="Bad 2" xfId="10"/>
    <cellStyle name="Error 1" xfId="11"/>
    <cellStyle name="Error 2" xfId="12"/>
    <cellStyle name="Footnote 1" xfId="13"/>
    <cellStyle name="Footnote 2" xfId="14"/>
    <cellStyle name="Good 1" xfId="15"/>
    <cellStyle name="Good 2" xfId="16"/>
    <cellStyle name="Heading 1 1" xfId="17"/>
    <cellStyle name="Heading 1 2" xfId="18"/>
    <cellStyle name="Heading 2 1" xfId="19"/>
    <cellStyle name="Heading 2 2" xfId="20"/>
    <cellStyle name="Heading 3" xfId="21"/>
    <cellStyle name="Heading 4" xfId="22"/>
    <cellStyle name="Neutral 1" xfId="23"/>
    <cellStyle name="Neutral 2" xfId="24"/>
    <cellStyle name="Normal" xfId="0" builtinId="0"/>
    <cellStyle name="Normal 2" xfId="25"/>
    <cellStyle name="Normal 3" xfId="26"/>
    <cellStyle name="Note 1" xfId="27"/>
    <cellStyle name="Note 2" xfId="28"/>
    <cellStyle name="Porcentagem" xfId="29" builtinId="5"/>
    <cellStyle name="Separador de milhares 2" xfId="30"/>
    <cellStyle name="Status 1" xfId="31"/>
    <cellStyle name="Status 2" xfId="32"/>
    <cellStyle name="Text 1" xfId="33"/>
    <cellStyle name="Text 2" xfId="34"/>
    <cellStyle name="Vírgula" xfId="35" builtinId="3"/>
    <cellStyle name="Vírgula 2" xfId="36"/>
    <cellStyle name="Warning 1" xfId="37"/>
    <cellStyle name="Warning 2" xfId="38"/>
  </cellStyles>
  <dxfs count="28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tabSelected="1" zoomScaleNormal="100" workbookViewId="0">
      <selection activeCell="D19" sqref="D19"/>
    </sheetView>
  </sheetViews>
  <sheetFormatPr defaultColWidth="8.81640625" defaultRowHeight="12.75" customHeight="1" x14ac:dyDescent="0.25"/>
  <cols>
    <col min="1" max="1" width="72.7265625" style="1" customWidth="1"/>
    <col min="2" max="2" width="67.453125" style="1" customWidth="1"/>
    <col min="3" max="242" width="8.81640625" style="1" customWidth="1"/>
    <col min="243" max="252" width="8.81640625" style="2" customWidth="1"/>
    <col min="253" max="16384" width="8.81640625" style="1"/>
  </cols>
  <sheetData>
    <row r="1" spans="1:256" ht="18.75" customHeight="1" x14ac:dyDescent="0.25">
      <c r="A1" s="871" t="s">
        <v>1139</v>
      </c>
      <c r="B1" s="871"/>
    </row>
    <row r="2" spans="1:256" ht="18.75" customHeight="1" x14ac:dyDescent="0.25">
      <c r="A2" s="871" t="s">
        <v>0</v>
      </c>
      <c r="B2" s="871"/>
    </row>
    <row r="3" spans="1:256" ht="22.5" customHeight="1" x14ac:dyDescent="0.25">
      <c r="A3" s="871" t="s">
        <v>1140</v>
      </c>
      <c r="B3" s="871"/>
      <c r="D3" s="874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874"/>
      <c r="F3" s="874"/>
      <c r="G3" s="874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5">
      <c r="A4" s="875" t="s">
        <v>1</v>
      </c>
      <c r="B4" s="875"/>
      <c r="C4" s="5"/>
      <c r="D4" s="874"/>
      <c r="E4" s="874"/>
      <c r="F4" s="874"/>
      <c r="G4" s="874"/>
      <c r="H4" s="5"/>
      <c r="I4" s="5"/>
      <c r="II4" s="876" t="s">
        <v>2</v>
      </c>
      <c r="IJ4" s="876"/>
      <c r="IK4" s="876"/>
      <c r="IL4" s="876"/>
      <c r="IM4" s="876"/>
      <c r="IN4" s="876"/>
      <c r="IO4" s="3">
        <f>IF($A$5=IP4,1,0)</f>
        <v>0</v>
      </c>
      <c r="IP4" s="870" t="s">
        <v>3</v>
      </c>
      <c r="IQ4" s="870"/>
      <c r="IR4" s="870"/>
      <c r="IS4" s="870"/>
      <c r="IT4" s="870"/>
      <c r="IU4" s="870"/>
      <c r="IV4" s="870"/>
    </row>
    <row r="5" spans="1:256" ht="18.75" customHeight="1" x14ac:dyDescent="0.25">
      <c r="A5" s="871" t="s">
        <v>10</v>
      </c>
      <c r="B5" s="871"/>
      <c r="D5" s="874"/>
      <c r="E5" s="874"/>
      <c r="F5" s="874"/>
      <c r="G5" s="874"/>
      <c r="II5" s="876"/>
      <c r="IJ5" s="876"/>
      <c r="IK5" s="876"/>
      <c r="IL5" s="876"/>
      <c r="IM5" s="876"/>
      <c r="IN5" s="876"/>
      <c r="IO5" s="3"/>
      <c r="IP5" s="3"/>
      <c r="IQ5" s="3"/>
      <c r="IR5" s="3"/>
      <c r="IS5" s="4"/>
      <c r="IT5" s="4">
        <f t="shared" ref="IT5:IT10" si="0">IF($A$5=IV5,1,0)</f>
        <v>0</v>
      </c>
      <c r="IU5" s="4"/>
      <c r="IV5" s="7" t="s">
        <v>4</v>
      </c>
    </row>
    <row r="6" spans="1:256" ht="24" customHeight="1" x14ac:dyDescent="0.25">
      <c r="A6" s="872" t="s">
        <v>5</v>
      </c>
      <c r="B6" s="872"/>
      <c r="D6" s="874"/>
      <c r="E6" s="874"/>
      <c r="F6" s="874"/>
      <c r="G6" s="874"/>
      <c r="II6" s="876"/>
      <c r="IJ6" s="876"/>
      <c r="IK6" s="876"/>
      <c r="IL6" s="876"/>
      <c r="IM6" s="876"/>
      <c r="IN6" s="876"/>
      <c r="IO6" s="3"/>
      <c r="IP6" s="3"/>
      <c r="IQ6" s="3"/>
      <c r="IR6" s="3"/>
      <c r="IS6" s="4"/>
      <c r="IT6" s="4">
        <f t="shared" si="0"/>
        <v>0</v>
      </c>
      <c r="IU6" s="4"/>
      <c r="IV6" s="7" t="s">
        <v>6</v>
      </c>
    </row>
    <row r="7" spans="1:256" ht="23.25" customHeight="1" x14ac:dyDescent="0.25">
      <c r="A7" s="873" t="str">
        <f>IF(B19="","Por favor, informe o endereço eletrônico do Portal da Transparência.","")</f>
        <v/>
      </c>
      <c r="B7" s="873"/>
      <c r="D7" s="874"/>
      <c r="E7" s="874"/>
      <c r="F7" s="874"/>
      <c r="G7" s="874"/>
      <c r="II7" s="876"/>
      <c r="IJ7" s="876"/>
      <c r="IK7" s="876"/>
      <c r="IL7" s="876"/>
      <c r="IM7" s="876"/>
      <c r="IN7" s="876"/>
      <c r="IO7" s="3"/>
      <c r="IP7" s="3"/>
      <c r="IQ7" s="3"/>
      <c r="IR7" s="3"/>
      <c r="IS7" s="4"/>
      <c r="IT7" s="4">
        <f t="shared" si="0"/>
        <v>0</v>
      </c>
      <c r="IU7" s="4"/>
      <c r="IV7" s="7" t="s">
        <v>3</v>
      </c>
    </row>
    <row r="8" spans="1:256" ht="18" customHeight="1" x14ac:dyDescent="0.25">
      <c r="A8" s="8" t="s">
        <v>7</v>
      </c>
      <c r="B8" s="9"/>
      <c r="II8" s="876"/>
      <c r="IJ8" s="876"/>
      <c r="IK8" s="876"/>
      <c r="IL8" s="876"/>
      <c r="IM8" s="876"/>
      <c r="IN8" s="876"/>
      <c r="IO8" s="3"/>
      <c r="IP8" s="3"/>
      <c r="IQ8" s="3"/>
      <c r="IR8" s="3"/>
      <c r="IS8" s="4"/>
      <c r="IT8" s="4">
        <f t="shared" si="0"/>
        <v>0</v>
      </c>
      <c r="IU8" s="4"/>
      <c r="IV8" s="7" t="s">
        <v>8</v>
      </c>
    </row>
    <row r="9" spans="1:256" ht="12.75" customHeight="1" x14ac:dyDescent="0.25">
      <c r="A9" s="10" t="s">
        <v>9</v>
      </c>
      <c r="B9" s="854" t="s">
        <v>1141</v>
      </c>
      <c r="C9" s="11">
        <f>IF(B9="",1,0)</f>
        <v>0</v>
      </c>
      <c r="II9" s="876"/>
      <c r="IJ9" s="876"/>
      <c r="IK9" s="876"/>
      <c r="IL9" s="876"/>
      <c r="IM9" s="876"/>
      <c r="IN9" s="876"/>
      <c r="IO9" s="3"/>
      <c r="IP9" s="3"/>
      <c r="IQ9" s="3"/>
      <c r="IR9" s="3"/>
      <c r="IS9" s="4"/>
      <c r="IT9" s="4">
        <f t="shared" si="0"/>
        <v>1</v>
      </c>
      <c r="IU9" s="4"/>
      <c r="IV9" s="7" t="s">
        <v>10</v>
      </c>
    </row>
    <row r="10" spans="1:256" ht="12.75" customHeight="1" x14ac:dyDescent="0.25">
      <c r="A10" s="12" t="s">
        <v>11</v>
      </c>
      <c r="B10" s="854" t="s">
        <v>1142</v>
      </c>
      <c r="C10" s="11">
        <f>IF(B10="",1,0)</f>
        <v>0</v>
      </c>
      <c r="II10" s="876"/>
      <c r="IJ10" s="876"/>
      <c r="IK10" s="876"/>
      <c r="IL10" s="876"/>
      <c r="IM10" s="876"/>
      <c r="IN10" s="876"/>
      <c r="IO10" s="3"/>
      <c r="IP10" s="3"/>
      <c r="IQ10" s="3"/>
      <c r="IR10" s="3"/>
      <c r="IS10" s="4"/>
      <c r="IT10" s="4">
        <f t="shared" si="0"/>
        <v>0</v>
      </c>
      <c r="IU10" s="4"/>
      <c r="IV10" s="7" t="s">
        <v>12</v>
      </c>
    </row>
    <row r="11" spans="1:256" ht="12.75" customHeight="1" x14ac:dyDescent="0.25">
      <c r="A11" s="10" t="s">
        <v>13</v>
      </c>
      <c r="B11" s="854" t="s">
        <v>1143</v>
      </c>
      <c r="C11" s="11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1</v>
      </c>
      <c r="IU11" s="4"/>
      <c r="IV11" s="4"/>
    </row>
    <row r="12" spans="1:256" ht="12.75" customHeight="1" x14ac:dyDescent="0.25">
      <c r="A12" s="12" t="s">
        <v>14</v>
      </c>
      <c r="B12" s="854" t="s">
        <v>1144</v>
      </c>
      <c r="C12" s="11">
        <f>IF(B12="",1,0)</f>
        <v>0</v>
      </c>
    </row>
    <row r="13" spans="1:256" ht="12.75" customHeight="1" x14ac:dyDescent="0.25">
      <c r="A13" s="10" t="s">
        <v>15</v>
      </c>
      <c r="B13" s="854" t="s">
        <v>1145</v>
      </c>
      <c r="C13" s="11">
        <f>IF(B13="",1,0)</f>
        <v>0</v>
      </c>
    </row>
    <row r="14" spans="1:256" ht="18" customHeight="1" x14ac:dyDescent="0.25">
      <c r="A14" s="8" t="s">
        <v>16</v>
      </c>
      <c r="B14" s="9"/>
      <c r="C14" s="11"/>
    </row>
    <row r="15" spans="1:256" ht="12.75" customHeight="1" x14ac:dyDescent="0.25">
      <c r="A15" s="10" t="s">
        <v>17</v>
      </c>
      <c r="B15" s="855" t="s">
        <v>1146</v>
      </c>
      <c r="C15" s="11">
        <f>IF(B15="",1,0)</f>
        <v>0</v>
      </c>
    </row>
    <row r="16" spans="1:256" ht="15" customHeight="1" x14ac:dyDescent="0.25">
      <c r="A16" s="13" t="s">
        <v>18</v>
      </c>
      <c r="B16" s="869">
        <v>43500</v>
      </c>
      <c r="C16" s="11">
        <f>IF(B16="",1,0)</f>
        <v>0</v>
      </c>
    </row>
    <row r="17" spans="1:3" ht="12.75" customHeight="1" x14ac:dyDescent="0.25">
      <c r="A17" s="10" t="s">
        <v>19</v>
      </c>
      <c r="B17" s="856">
        <v>43508</v>
      </c>
      <c r="C17" s="11">
        <f>IF(B17="",1,0)</f>
        <v>0</v>
      </c>
    </row>
    <row r="18" spans="1:3" ht="18" customHeight="1" x14ac:dyDescent="0.25">
      <c r="A18" s="8" t="s">
        <v>20</v>
      </c>
      <c r="B18" s="9"/>
      <c r="C18" s="11"/>
    </row>
    <row r="19" spans="1:3" ht="18" customHeight="1" x14ac:dyDescent="0.25">
      <c r="A19" s="14" t="s">
        <v>21</v>
      </c>
      <c r="B19" s="855" t="s">
        <v>1147</v>
      </c>
      <c r="C19" s="11">
        <f>IF(B19="",1,0)</f>
        <v>0</v>
      </c>
    </row>
    <row r="20" spans="1:3" ht="12.75" customHeight="1" x14ac:dyDescent="0.25">
      <c r="A20" s="12" t="s">
        <v>22</v>
      </c>
      <c r="B20" s="857" t="s">
        <v>1148</v>
      </c>
      <c r="C20" s="11">
        <f>IF(B20="",1,0)</f>
        <v>0</v>
      </c>
    </row>
    <row r="21" spans="1:3" ht="12.75" customHeight="1" x14ac:dyDescent="0.25">
      <c r="A21" s="15" t="s">
        <v>23</v>
      </c>
      <c r="B21" s="857" t="s">
        <v>1149</v>
      </c>
      <c r="C21" s="11">
        <f>IF(B21="",1,0)</f>
        <v>0</v>
      </c>
    </row>
    <row r="22" spans="1:3" ht="14.65" customHeight="1" x14ac:dyDescent="0.25">
      <c r="A22" s="16" t="s">
        <v>24</v>
      </c>
      <c r="B22" s="858" t="s">
        <v>1147</v>
      </c>
      <c r="C22" s="11">
        <f>IF(B22="",1,0)</f>
        <v>0</v>
      </c>
    </row>
    <row r="23" spans="1:3" ht="12.75" customHeight="1" x14ac:dyDescent="0.25">
      <c r="C23" s="17">
        <f>MAX(C9:C22)</f>
        <v>0</v>
      </c>
    </row>
    <row r="1000" spans="1:1" ht="12.75" customHeight="1" x14ac:dyDescent="0.25">
      <c r="A1000" s="2" t="s">
        <v>25</v>
      </c>
    </row>
    <row r="1001" spans="1:1" ht="12.75" customHeight="1" x14ac:dyDescent="0.25">
      <c r="A1001" s="2"/>
    </row>
    <row r="1002" spans="1:1" ht="12.75" customHeight="1" x14ac:dyDescent="0.25">
      <c r="A1002" s="2"/>
    </row>
    <row r="1003" spans="1:1" ht="12.75" customHeight="1" x14ac:dyDescent="0.25">
      <c r="A1003" s="2"/>
    </row>
    <row r="1004" spans="1:1" ht="12.75" customHeight="1" x14ac:dyDescent="0.25">
      <c r="A1004" s="2"/>
    </row>
    <row r="1005" spans="1:1" ht="12.75" customHeight="1" x14ac:dyDescent="0.25">
      <c r="A1005" s="2"/>
    </row>
    <row r="1006" spans="1:1" ht="12.75" customHeight="1" x14ac:dyDescent="0.25">
      <c r="A1006" s="2"/>
    </row>
    <row r="1007" spans="1:1" ht="12.75" customHeight="1" x14ac:dyDescent="0.25">
      <c r="A1007" s="2"/>
    </row>
    <row r="1008" spans="1:1" ht="12.75" customHeight="1" x14ac:dyDescent="0.25">
      <c r="A1008" s="2"/>
    </row>
    <row r="1009" spans="1:1" ht="12.75" customHeight="1" x14ac:dyDescent="0.25">
      <c r="A1009" s="2"/>
    </row>
    <row r="1010" spans="1:1" ht="12.75" customHeight="1" x14ac:dyDescent="0.25">
      <c r="A1010" s="2" t="s">
        <v>26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7" priority="1" stopIfTrue="1">
      <formula>$B$19=""</formula>
    </cfRule>
  </conditionalFormatting>
  <conditionalFormatting sqref="D7:F7">
    <cfRule type="expression" dxfId="26" priority="2" stopIfTrue="1">
      <formula>XFB15&lt;&gt;1</formula>
    </cfRule>
  </conditionalFormatting>
  <conditionalFormatting sqref="G3:G7">
    <cfRule type="expression" dxfId="25" priority="3" stopIfTrue="1">
      <formula>A11&lt;&gt;1</formula>
    </cfRule>
  </conditionalFormatting>
  <conditionalFormatting sqref="D3:F4">
    <cfRule type="expression" dxfId="24" priority="4" stopIfTrue="1">
      <formula>XFB11&lt;&gt;1</formula>
    </cfRule>
  </conditionalFormatting>
  <conditionalFormatting sqref="D5:F6">
    <cfRule type="expression" dxfId="23" priority="5" stopIfTrue="1">
      <formula>XFB13&lt;&gt;1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40" zoomScaleNormal="140" workbookViewId="0">
      <selection activeCell="A13" sqref="A13"/>
    </sheetView>
  </sheetViews>
  <sheetFormatPr defaultColWidth="11.453125" defaultRowHeight="14.65" customHeight="1" x14ac:dyDescent="0.25"/>
  <cols>
    <col min="1" max="1" width="78.453125" style="504" customWidth="1"/>
    <col min="2" max="2" width="25.453125" style="504" customWidth="1"/>
    <col min="3" max="6" width="12.453125" style="504" customWidth="1"/>
    <col min="7" max="7" width="20.1796875" style="504" customWidth="1"/>
    <col min="8" max="8" width="20.81640625" style="504" customWidth="1"/>
    <col min="9" max="9" width="8.81640625" style="504" customWidth="1"/>
    <col min="10" max="10" width="12.54296875" style="504" customWidth="1"/>
    <col min="11" max="11" width="20.81640625" style="504" customWidth="1"/>
    <col min="12" max="12" width="13.7265625" style="504" customWidth="1"/>
    <col min="13" max="255" width="8.81640625" style="504" customWidth="1"/>
    <col min="256" max="16384" width="11.453125" style="504"/>
  </cols>
  <sheetData>
    <row r="1" spans="1:16" ht="15.75" customHeight="1" x14ac:dyDescent="0.25">
      <c r="A1" s="1123" t="s">
        <v>813</v>
      </c>
      <c r="B1" s="1123"/>
      <c r="C1" s="1123"/>
      <c r="D1" s="1123"/>
      <c r="E1" s="1123"/>
      <c r="F1" s="1123"/>
    </row>
    <row r="2" spans="1:16" ht="14.65" customHeight="1" x14ac:dyDescent="0.3">
      <c r="A2" s="1124" t="str">
        <f>'Informações Iniciais'!A1</f>
        <v>ESTADO DO MARANHÃO - PREFEITURA MUNICIPAL DE DAVINOPOLIS</v>
      </c>
      <c r="B2" s="1124"/>
      <c r="C2" s="1124"/>
      <c r="D2" s="1124"/>
      <c r="E2" s="1124"/>
      <c r="F2" s="505"/>
      <c r="G2" s="505"/>
      <c r="H2" s="505"/>
      <c r="I2" s="505"/>
      <c r="J2" s="505"/>
      <c r="K2" s="505"/>
      <c r="L2" s="505"/>
      <c r="M2" s="505"/>
    </row>
    <row r="3" spans="1:16" ht="14.65" customHeight="1" x14ac:dyDescent="0.3">
      <c r="A3" s="1125" t="s">
        <v>1</v>
      </c>
      <c r="B3" s="1125"/>
      <c r="C3" s="1125"/>
      <c r="D3" s="1125"/>
      <c r="E3" s="1125"/>
      <c r="F3" s="505"/>
      <c r="G3" s="505"/>
      <c r="H3" s="505"/>
      <c r="I3" s="505"/>
      <c r="J3" s="505"/>
      <c r="K3" s="505"/>
      <c r="L3" s="505"/>
      <c r="M3" s="505"/>
    </row>
    <row r="4" spans="1:16" ht="14.65" customHeight="1" x14ac:dyDescent="0.3">
      <c r="A4" s="1126" t="s">
        <v>661</v>
      </c>
      <c r="B4" s="1126"/>
      <c r="C4" s="1126"/>
      <c r="D4" s="1126"/>
      <c r="E4" s="1126"/>
      <c r="F4" s="405"/>
      <c r="G4" s="405"/>
      <c r="H4" s="405"/>
      <c r="I4" s="405"/>
      <c r="J4" s="405"/>
      <c r="K4" s="405"/>
      <c r="L4" s="405"/>
      <c r="M4" s="405"/>
    </row>
    <row r="5" spans="1:16" ht="14.65" customHeight="1" x14ac:dyDescent="0.3">
      <c r="A5" s="1127" t="s">
        <v>29</v>
      </c>
      <c r="B5" s="1127"/>
      <c r="C5" s="1127"/>
      <c r="D5" s="1127"/>
      <c r="E5" s="1127"/>
      <c r="F5" s="406"/>
      <c r="G5" s="406"/>
      <c r="H5" s="406"/>
      <c r="I5" s="406"/>
      <c r="J5" s="406"/>
      <c r="K5" s="406"/>
      <c r="L5" s="406"/>
      <c r="M5" s="406"/>
    </row>
    <row r="6" spans="1:16" ht="14.65" customHeight="1" x14ac:dyDescent="0.3">
      <c r="A6" s="1124" t="str">
        <f>'Informações Iniciais'!A5</f>
        <v>5º Bimestre de 2018</v>
      </c>
      <c r="B6" s="1124"/>
      <c r="C6" s="1124"/>
      <c r="D6" s="1124"/>
      <c r="E6" s="1124"/>
      <c r="F6" s="505"/>
      <c r="G6" s="505"/>
      <c r="H6" s="505"/>
      <c r="I6" s="505"/>
      <c r="J6" s="505"/>
      <c r="K6" s="505"/>
      <c r="L6" s="505"/>
      <c r="M6" s="505"/>
    </row>
    <row r="7" spans="1:16" ht="15.75" customHeight="1" x14ac:dyDescent="0.3">
      <c r="A7" s="1128" t="str">
        <f>IF(C27&lt;&gt;(E27+G27),"ERRO!!!! O total das DESPESAS EMPENHADAS deve ser igual ao somatório dos totais das DESPESAS LIQUIDADAS e INSCRITAS EM RESTOS A PAGAR NÃO PROCESSADOS.","")</f>
        <v/>
      </c>
      <c r="B7" s="1128"/>
      <c r="C7" s="1128"/>
      <c r="D7" s="1128"/>
      <c r="E7" s="1128"/>
      <c r="F7" s="1128"/>
      <c r="G7" s="1128"/>
      <c r="H7" s="505"/>
      <c r="I7" s="505"/>
      <c r="J7" s="506"/>
      <c r="K7" s="506"/>
      <c r="L7" s="506"/>
      <c r="M7" s="506"/>
      <c r="N7" s="507"/>
      <c r="O7" s="507"/>
      <c r="P7" s="507"/>
    </row>
    <row r="8" spans="1:16" ht="14.65" customHeight="1" x14ac:dyDescent="0.3">
      <c r="A8" s="508" t="s">
        <v>814</v>
      </c>
      <c r="B8" s="508"/>
      <c r="C8" s="508"/>
      <c r="D8" s="508"/>
      <c r="E8" s="508"/>
      <c r="F8" s="508"/>
      <c r="G8" s="509" t="s">
        <v>31</v>
      </c>
      <c r="H8" s="437"/>
      <c r="J8" s="1048"/>
      <c r="K8" s="1048"/>
      <c r="L8" s="1048"/>
      <c r="M8" s="1048"/>
      <c r="N8" s="507"/>
      <c r="O8" s="507"/>
      <c r="P8" s="507"/>
    </row>
    <row r="9" spans="1:16" ht="14.65" customHeight="1" x14ac:dyDescent="0.3">
      <c r="A9" s="1129" t="s">
        <v>815</v>
      </c>
      <c r="B9" s="1129"/>
      <c r="C9" s="1129"/>
      <c r="D9" s="1129"/>
      <c r="E9" s="1129"/>
      <c r="F9" s="1129"/>
      <c r="G9" s="1129"/>
      <c r="H9" s="510"/>
      <c r="J9" s="1130"/>
      <c r="K9" s="1130"/>
      <c r="L9" s="1130"/>
      <c r="M9" s="1130"/>
      <c r="N9" s="507"/>
      <c r="O9" s="507"/>
      <c r="P9" s="507"/>
    </row>
    <row r="10" spans="1:16" ht="30.65" customHeight="1" x14ac:dyDescent="0.3">
      <c r="A10" s="512" t="s">
        <v>816</v>
      </c>
      <c r="B10" s="1065" t="s">
        <v>817</v>
      </c>
      <c r="C10" s="1066" t="s">
        <v>126</v>
      </c>
      <c r="D10" s="1066"/>
      <c r="E10" s="1066" t="s">
        <v>127</v>
      </c>
      <c r="F10" s="1066"/>
      <c r="G10" s="1131" t="s">
        <v>818</v>
      </c>
      <c r="H10" s="507"/>
      <c r="J10" s="1132"/>
      <c r="K10" s="1132"/>
      <c r="L10" s="513"/>
      <c r="M10" s="511"/>
      <c r="N10" s="507"/>
      <c r="O10" s="507"/>
      <c r="P10" s="507"/>
    </row>
    <row r="11" spans="1:16" ht="15.65" customHeight="1" x14ac:dyDescent="0.3">
      <c r="A11" s="514" t="s">
        <v>819</v>
      </c>
      <c r="B11" s="1065"/>
      <c r="C11" s="414" t="s">
        <v>39</v>
      </c>
      <c r="D11" s="415" t="s">
        <v>38</v>
      </c>
      <c r="E11" s="414" t="s">
        <v>39</v>
      </c>
      <c r="F11" s="415" t="s">
        <v>38</v>
      </c>
      <c r="G11" s="1131"/>
      <c r="H11" s="507"/>
      <c r="J11" s="511"/>
      <c r="K11" s="511"/>
      <c r="L11" s="511"/>
      <c r="M11" s="515"/>
      <c r="N11" s="507"/>
      <c r="O11" s="507"/>
      <c r="P11" s="507"/>
    </row>
    <row r="12" spans="1:16" ht="15.65" customHeight="1" x14ac:dyDescent="0.3">
      <c r="A12" s="516"/>
      <c r="B12" s="517" t="s">
        <v>131</v>
      </c>
      <c r="C12" s="418" t="s">
        <v>132</v>
      </c>
      <c r="D12" s="419" t="s">
        <v>728</v>
      </c>
      <c r="E12" s="418" t="s">
        <v>650</v>
      </c>
      <c r="F12" s="419" t="s">
        <v>729</v>
      </c>
      <c r="G12" s="442" t="s">
        <v>651</v>
      </c>
      <c r="H12" s="507"/>
      <c r="J12" s="511"/>
      <c r="K12" s="511"/>
      <c r="L12" s="511"/>
      <c r="M12" s="511"/>
      <c r="N12" s="507"/>
      <c r="O12" s="507"/>
      <c r="P12" s="507"/>
    </row>
    <row r="13" spans="1:16" ht="14.65" customHeight="1" x14ac:dyDescent="0.3">
      <c r="A13" s="518" t="s">
        <v>820</v>
      </c>
      <c r="B13" s="519">
        <f>B14+B17</f>
        <v>0</v>
      </c>
      <c r="C13" s="519">
        <f>C14+C17</f>
        <v>0</v>
      </c>
      <c r="D13" s="47">
        <f t="shared" ref="D13:D27" si="0">IF($B13="",0,IF($B13=0,0,C13/$B13))</f>
        <v>0</v>
      </c>
      <c r="E13" s="519">
        <f>E14+E17</f>
        <v>0</v>
      </c>
      <c r="F13" s="47">
        <f t="shared" ref="F13:F27" si="1">IF($B13="",0,IF($B13=0,0,E13/$B13))</f>
        <v>0</v>
      </c>
      <c r="G13" s="520">
        <f>G14+G17</f>
        <v>0</v>
      </c>
      <c r="H13" s="425"/>
      <c r="J13" s="507"/>
      <c r="K13" s="507"/>
      <c r="L13" s="507"/>
      <c r="M13" s="507"/>
      <c r="N13" s="507"/>
      <c r="O13" s="507"/>
      <c r="P13" s="507"/>
    </row>
    <row r="14" spans="1:16" ht="14.65" customHeight="1" x14ac:dyDescent="0.3">
      <c r="A14" s="521" t="s">
        <v>821</v>
      </c>
      <c r="B14" s="522">
        <f>SUM(B15:B16)</f>
        <v>0</v>
      </c>
      <c r="C14" s="522">
        <f>SUM(C15:C16)</f>
        <v>0</v>
      </c>
      <c r="D14" s="47">
        <f t="shared" si="0"/>
        <v>0</v>
      </c>
      <c r="E14" s="522">
        <f>SUM(E15:E16)</f>
        <v>0</v>
      </c>
      <c r="F14" s="47">
        <f t="shared" si="1"/>
        <v>0</v>
      </c>
      <c r="G14" s="23">
        <f>SUM(G15:G16)</f>
        <v>0</v>
      </c>
      <c r="H14" s="425"/>
    </row>
    <row r="15" spans="1:16" ht="14.65" customHeight="1" x14ac:dyDescent="0.3">
      <c r="A15" s="521" t="s">
        <v>822</v>
      </c>
      <c r="B15" s="94"/>
      <c r="C15" s="94"/>
      <c r="D15" s="47">
        <f t="shared" si="0"/>
        <v>0</v>
      </c>
      <c r="E15" s="482"/>
      <c r="F15" s="47">
        <f t="shared" si="1"/>
        <v>0</v>
      </c>
      <c r="G15" s="94"/>
      <c r="H15" s="425"/>
    </row>
    <row r="16" spans="1:16" ht="14.65" customHeight="1" x14ac:dyDescent="0.3">
      <c r="A16" s="521" t="s">
        <v>823</v>
      </c>
      <c r="B16" s="93"/>
      <c r="C16" s="93"/>
      <c r="D16" s="47">
        <f t="shared" si="0"/>
        <v>0</v>
      </c>
      <c r="E16" s="93"/>
      <c r="F16" s="47">
        <f t="shared" si="1"/>
        <v>0</v>
      </c>
      <c r="G16" s="135"/>
      <c r="H16" s="425"/>
    </row>
    <row r="17" spans="1:8" ht="14.65" customHeight="1" x14ac:dyDescent="0.3">
      <c r="A17" s="521" t="s">
        <v>824</v>
      </c>
      <c r="B17" s="522">
        <f>SUM(B18:B19)</f>
        <v>0</v>
      </c>
      <c r="C17" s="522">
        <f>SUM(C18:C19)</f>
        <v>0</v>
      </c>
      <c r="D17" s="47">
        <f t="shared" si="0"/>
        <v>0</v>
      </c>
      <c r="E17" s="522">
        <f>SUM(E18:E19)</f>
        <v>0</v>
      </c>
      <c r="F17" s="47">
        <f t="shared" si="1"/>
        <v>0</v>
      </c>
      <c r="G17" s="161">
        <f>SUM(G18:G19)</f>
        <v>0</v>
      </c>
      <c r="H17" s="425"/>
    </row>
    <row r="18" spans="1:8" ht="14.65" customHeight="1" x14ac:dyDescent="0.3">
      <c r="A18" s="521" t="s">
        <v>822</v>
      </c>
      <c r="B18" s="135"/>
      <c r="C18" s="481"/>
      <c r="D18" s="47">
        <f t="shared" si="0"/>
        <v>0</v>
      </c>
      <c r="E18" s="450"/>
      <c r="F18" s="47">
        <f t="shared" si="1"/>
        <v>0</v>
      </c>
      <c r="G18" s="94"/>
      <c r="H18" s="425"/>
    </row>
    <row r="19" spans="1:8" ht="14.65" customHeight="1" x14ac:dyDescent="0.3">
      <c r="A19" s="521" t="s">
        <v>823</v>
      </c>
      <c r="B19" s="135"/>
      <c r="C19" s="94"/>
      <c r="D19" s="47">
        <f t="shared" si="0"/>
        <v>0</v>
      </c>
      <c r="E19" s="94"/>
      <c r="F19" s="47">
        <f t="shared" si="1"/>
        <v>0</v>
      </c>
      <c r="G19" s="523"/>
      <c r="H19" s="507"/>
    </row>
    <row r="20" spans="1:8" ht="14.65" customHeight="1" x14ac:dyDescent="0.3">
      <c r="A20" s="518" t="s">
        <v>825</v>
      </c>
      <c r="B20" s="522">
        <f>SUM(B21:B22)</f>
        <v>0</v>
      </c>
      <c r="C20" s="522">
        <f>SUM(C21:C22)</f>
        <v>0</v>
      </c>
      <c r="D20" s="47">
        <f t="shared" si="0"/>
        <v>0</v>
      </c>
      <c r="E20" s="522">
        <f>SUM(E21:E22)</f>
        <v>0</v>
      </c>
      <c r="F20" s="47">
        <f t="shared" si="1"/>
        <v>0</v>
      </c>
      <c r="G20" s="161">
        <f>SUM(G21:G22)</f>
        <v>0</v>
      </c>
      <c r="H20" s="507"/>
    </row>
    <row r="21" spans="1:8" ht="14.65" customHeight="1" x14ac:dyDescent="0.3">
      <c r="A21" s="518" t="s">
        <v>826</v>
      </c>
      <c r="B21" s="524"/>
      <c r="C21" s="523"/>
      <c r="D21" s="47">
        <f t="shared" si="0"/>
        <v>0</v>
      </c>
      <c r="E21" s="523"/>
      <c r="F21" s="47">
        <f t="shared" si="1"/>
        <v>0</v>
      </c>
      <c r="G21" s="524"/>
      <c r="H21" s="507"/>
    </row>
    <row r="22" spans="1:8" ht="14.65" customHeight="1" x14ac:dyDescent="0.3">
      <c r="A22" s="518" t="s">
        <v>827</v>
      </c>
      <c r="B22" s="524"/>
      <c r="C22" s="523"/>
      <c r="D22" s="47">
        <f t="shared" si="0"/>
        <v>0</v>
      </c>
      <c r="E22" s="523"/>
      <c r="F22" s="47">
        <f t="shared" si="1"/>
        <v>0</v>
      </c>
      <c r="G22" s="524"/>
      <c r="H22" s="507"/>
    </row>
    <row r="23" spans="1:8" ht="14.65" customHeight="1" x14ac:dyDescent="0.3">
      <c r="A23" s="518" t="s">
        <v>828</v>
      </c>
      <c r="B23" s="524"/>
      <c r="C23" s="523"/>
      <c r="D23" s="47">
        <f t="shared" si="0"/>
        <v>0</v>
      </c>
      <c r="E23" s="523"/>
      <c r="F23" s="47">
        <f t="shared" si="1"/>
        <v>0</v>
      </c>
      <c r="G23" s="524"/>
      <c r="H23" s="507"/>
    </row>
    <row r="24" spans="1:8" ht="14.65" customHeight="1" x14ac:dyDescent="0.3">
      <c r="A24" s="518" t="s">
        <v>829</v>
      </c>
      <c r="B24" s="524"/>
      <c r="C24" s="523"/>
      <c r="D24" s="47">
        <f t="shared" si="0"/>
        <v>0</v>
      </c>
      <c r="E24" s="523"/>
      <c r="F24" s="47">
        <f t="shared" si="1"/>
        <v>0</v>
      </c>
      <c r="G24" s="524"/>
      <c r="H24" s="507"/>
    </row>
    <row r="25" spans="1:8" ht="14.65" customHeight="1" x14ac:dyDescent="0.3">
      <c r="A25" s="518" t="s">
        <v>830</v>
      </c>
      <c r="B25" s="524"/>
      <c r="C25" s="523"/>
      <c r="D25" s="47">
        <f t="shared" si="0"/>
        <v>0</v>
      </c>
      <c r="E25" s="523"/>
      <c r="F25" s="47">
        <f t="shared" si="1"/>
        <v>0</v>
      </c>
      <c r="G25" s="524"/>
      <c r="H25" s="507"/>
    </row>
    <row r="26" spans="1:8" ht="14.65" customHeight="1" x14ac:dyDescent="0.3">
      <c r="A26" s="518" t="s">
        <v>831</v>
      </c>
      <c r="B26" s="524"/>
      <c r="C26" s="523"/>
      <c r="D26" s="47">
        <f t="shared" si="0"/>
        <v>0</v>
      </c>
      <c r="E26" s="523"/>
      <c r="F26" s="47">
        <f t="shared" si="1"/>
        <v>0</v>
      </c>
      <c r="G26" s="525"/>
      <c r="H26" s="507"/>
    </row>
    <row r="27" spans="1:8" ht="14.65" customHeight="1" x14ac:dyDescent="0.3">
      <c r="A27" s="526" t="s">
        <v>832</v>
      </c>
      <c r="B27" s="527">
        <f>SUM(B13,B20,B23:B26)</f>
        <v>0</v>
      </c>
      <c r="C27" s="527">
        <f>SUM(C13,C20,C23:C26)</f>
        <v>0</v>
      </c>
      <c r="D27" s="485">
        <f t="shared" si="0"/>
        <v>0</v>
      </c>
      <c r="E27" s="527">
        <f>SUM(E13,E20,E23:E26)</f>
        <v>0</v>
      </c>
      <c r="F27" s="485">
        <f t="shared" si="1"/>
        <v>0</v>
      </c>
      <c r="G27" s="528">
        <f>SUM(G13,G20,G23:G26)</f>
        <v>0</v>
      </c>
      <c r="H27" s="507"/>
    </row>
    <row r="28" spans="1:8" ht="19.5" customHeight="1" x14ac:dyDescent="0.25">
      <c r="A28" s="1133" t="s">
        <v>769</v>
      </c>
      <c r="B28" s="1133"/>
      <c r="C28" s="1133"/>
      <c r="D28" s="1133"/>
      <c r="E28" s="1133"/>
      <c r="F28" s="1134" t="s">
        <v>457</v>
      </c>
      <c r="G28" s="1134"/>
    </row>
    <row r="29" spans="1:8" ht="12.75" customHeight="1" x14ac:dyDescent="0.3">
      <c r="A29" s="1135" t="s">
        <v>833</v>
      </c>
      <c r="B29" s="1135"/>
      <c r="C29" s="1135"/>
      <c r="D29" s="1135"/>
      <c r="E29" s="1135"/>
      <c r="F29" s="1136"/>
      <c r="G29" s="1136"/>
    </row>
    <row r="30" spans="1:8" s="529" customFormat="1" ht="12.75" hidden="1" customHeight="1" x14ac:dyDescent="0.3">
      <c r="A30" s="1137" t="s">
        <v>834</v>
      </c>
      <c r="B30" s="1137"/>
      <c r="C30" s="1137"/>
      <c r="D30" s="1137"/>
      <c r="E30" s="1137"/>
      <c r="F30" s="1138"/>
      <c r="G30" s="1138"/>
    </row>
    <row r="31" spans="1:8" ht="12.75" customHeight="1" x14ac:dyDescent="0.3">
      <c r="A31" s="1135" t="s">
        <v>835</v>
      </c>
      <c r="B31" s="1135"/>
      <c r="C31" s="1135"/>
      <c r="D31" s="1135"/>
      <c r="E31" s="1135"/>
      <c r="F31" s="1139"/>
      <c r="G31" s="1139"/>
    </row>
    <row r="32" spans="1:8" ht="13.5" customHeight="1" x14ac:dyDescent="0.3">
      <c r="A32" s="1135" t="s">
        <v>836</v>
      </c>
      <c r="B32" s="1135"/>
      <c r="C32" s="1135"/>
      <c r="D32" s="1135"/>
      <c r="E32" s="1135"/>
      <c r="F32" s="1139"/>
      <c r="G32" s="1139"/>
    </row>
    <row r="33" spans="1:7" ht="13.5" customHeight="1" x14ac:dyDescent="0.3">
      <c r="A33" s="1135" t="s">
        <v>837</v>
      </c>
      <c r="B33" s="1135"/>
      <c r="C33" s="1135"/>
      <c r="D33" s="1135"/>
      <c r="E33" s="1135"/>
      <c r="F33" s="1139"/>
      <c r="G33" s="1139"/>
    </row>
    <row r="34" spans="1:7" s="530" customFormat="1" ht="26.9" customHeight="1" x14ac:dyDescent="0.3">
      <c r="A34" s="1141" t="s">
        <v>838</v>
      </c>
      <c r="B34" s="1141"/>
      <c r="C34" s="1141"/>
      <c r="D34" s="1141"/>
      <c r="E34" s="1141"/>
      <c r="F34" s="1142"/>
      <c r="G34" s="1142"/>
    </row>
    <row r="35" spans="1:7" ht="14.25" customHeight="1" x14ac:dyDescent="0.3">
      <c r="A35" s="1143" t="s">
        <v>839</v>
      </c>
      <c r="B35" s="1143"/>
      <c r="C35" s="1143"/>
      <c r="D35" s="1143"/>
      <c r="E35" s="1143"/>
      <c r="F35" s="1144">
        <f>SUM(F29:G34)</f>
        <v>0</v>
      </c>
      <c r="G35" s="1144"/>
    </row>
    <row r="36" spans="1:7" ht="12.75" customHeight="1" x14ac:dyDescent="0.3">
      <c r="A36" s="1143" t="s">
        <v>840</v>
      </c>
      <c r="B36" s="1143"/>
      <c r="C36" s="1143"/>
      <c r="D36" s="1143"/>
      <c r="E36" s="1143"/>
      <c r="F36" s="1144">
        <f>E27-F35</f>
        <v>0</v>
      </c>
      <c r="G36" s="1144"/>
    </row>
    <row r="37" spans="1:7" ht="12.75" customHeight="1" x14ac:dyDescent="0.25">
      <c r="A37" s="1140" t="s">
        <v>841</v>
      </c>
      <c r="B37" s="1140"/>
      <c r="C37" s="1140"/>
    </row>
  </sheetData>
  <sheetProtection password="F3F6" sheet="1"/>
  <mergeCells count="34">
    <mergeCell ref="A37:C37"/>
    <mergeCell ref="A34:E34"/>
    <mergeCell ref="F34:G34"/>
    <mergeCell ref="A35:E35"/>
    <mergeCell ref="F35:G35"/>
    <mergeCell ref="A36:E36"/>
    <mergeCell ref="F36:G36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1:F1"/>
    <mergeCell ref="A2:E2"/>
    <mergeCell ref="A3:E3"/>
    <mergeCell ref="A4:E4"/>
    <mergeCell ref="A5:E5"/>
    <mergeCell ref="A6:E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3" zoomScale="140" zoomScaleNormal="140" workbookViewId="0">
      <selection activeCell="H17" sqref="H17:I17"/>
    </sheetView>
  </sheetViews>
  <sheetFormatPr defaultColWidth="6.453125" defaultRowHeight="11.25" customHeight="1" x14ac:dyDescent="0.3"/>
  <cols>
    <col min="1" max="1" width="41" style="406" customWidth="1"/>
    <col min="2" max="6" width="8.453125" style="406" customWidth="1"/>
    <col min="7" max="7" width="8.453125" style="425" customWidth="1"/>
    <col min="8" max="9" width="8.453125" style="406" customWidth="1"/>
    <col min="10" max="10" width="16.453125" style="406" customWidth="1"/>
    <col min="11" max="16384" width="6.453125" style="406"/>
  </cols>
  <sheetData>
    <row r="1" spans="1:11" s="532" customFormat="1" ht="15.75" customHeight="1" x14ac:dyDescent="0.35">
      <c r="A1" s="1145" t="s">
        <v>842</v>
      </c>
      <c r="B1" s="1145"/>
      <c r="C1" s="1145"/>
      <c r="D1" s="1145"/>
      <c r="E1" s="1145"/>
      <c r="F1" s="1145"/>
      <c r="G1" s="1145"/>
      <c r="H1" s="1145"/>
      <c r="I1" s="1145"/>
      <c r="J1" s="1145"/>
      <c r="K1" s="531"/>
    </row>
    <row r="2" spans="1:11" ht="11.25" customHeight="1" x14ac:dyDescent="0.3">
      <c r="A2" s="1146"/>
      <c r="B2" s="1146"/>
      <c r="C2" s="1146"/>
      <c r="D2" s="1146"/>
      <c r="E2" s="1146"/>
      <c r="F2" s="1146"/>
      <c r="G2" s="1146"/>
      <c r="H2" s="1146"/>
      <c r="I2" s="1146"/>
      <c r="J2" s="1146"/>
      <c r="K2" s="534"/>
    </row>
    <row r="3" spans="1:11" ht="12.75" customHeight="1" x14ac:dyDescent="0.3">
      <c r="A3" s="1046" t="str">
        <f>'Informações Iniciais'!A1</f>
        <v>ESTADO DO MARANHÃO - PREFEITURA MUNICIPAL DE DAVINOPOLIS</v>
      </c>
      <c r="B3" s="1046"/>
      <c r="C3" s="1046"/>
      <c r="D3" s="1046"/>
      <c r="E3" s="1046"/>
      <c r="F3" s="1046"/>
      <c r="G3" s="1046"/>
      <c r="H3" s="1046"/>
      <c r="I3" s="1046"/>
      <c r="J3" s="1046"/>
      <c r="K3" s="534"/>
    </row>
    <row r="4" spans="1:11" ht="12.75" customHeight="1" x14ac:dyDescent="0.3">
      <c r="A4" s="1046" t="s">
        <v>1</v>
      </c>
      <c r="B4" s="1046"/>
      <c r="C4" s="1046"/>
      <c r="D4" s="1046"/>
      <c r="E4" s="1046"/>
      <c r="F4" s="1046"/>
      <c r="G4" s="1046"/>
      <c r="H4" s="1046"/>
      <c r="I4" s="1046"/>
      <c r="J4" s="1046"/>
      <c r="K4" s="534"/>
    </row>
    <row r="5" spans="1:11" ht="12.75" customHeight="1" x14ac:dyDescent="0.3">
      <c r="A5" s="1147" t="s">
        <v>843</v>
      </c>
      <c r="B5" s="1147"/>
      <c r="C5" s="1147"/>
      <c r="D5" s="1147"/>
      <c r="E5" s="1147"/>
      <c r="F5" s="1147"/>
      <c r="G5" s="1147"/>
      <c r="H5" s="1147"/>
      <c r="I5" s="1147"/>
      <c r="J5" s="1147"/>
      <c r="K5" s="534"/>
    </row>
    <row r="6" spans="1:11" ht="12.75" customHeight="1" x14ac:dyDescent="0.3">
      <c r="A6" s="1046" t="s">
        <v>29</v>
      </c>
      <c r="B6" s="1046"/>
      <c r="C6" s="1046"/>
      <c r="D6" s="1046"/>
      <c r="E6" s="1046"/>
      <c r="F6" s="1046"/>
      <c r="G6" s="1046"/>
      <c r="H6" s="1046"/>
      <c r="I6" s="1046"/>
      <c r="J6" s="1046"/>
      <c r="K6" s="534"/>
    </row>
    <row r="7" spans="1:11" ht="12.75" customHeight="1" x14ac:dyDescent="0.3">
      <c r="A7" s="1046" t="str">
        <f>'Informações Iniciais'!A5</f>
        <v>5º Bimestre de 2018</v>
      </c>
      <c r="B7" s="1046"/>
      <c r="C7" s="1046"/>
      <c r="D7" s="1046"/>
      <c r="E7" s="1046"/>
      <c r="F7" s="1046"/>
      <c r="G7" s="1046"/>
      <c r="H7" s="1046"/>
      <c r="I7" s="1046"/>
      <c r="J7" s="1046"/>
      <c r="K7" s="534"/>
    </row>
    <row r="8" spans="1:11" ht="12.75" customHeight="1" x14ac:dyDescent="0.3">
      <c r="A8" s="535"/>
      <c r="B8" s="1146"/>
      <c r="C8" s="1146"/>
      <c r="D8" s="535"/>
      <c r="E8" s="535"/>
      <c r="F8" s="1146"/>
      <c r="G8" s="1146"/>
      <c r="H8" s="1146"/>
      <c r="I8" s="1146"/>
      <c r="J8" s="535"/>
      <c r="K8" s="534"/>
    </row>
    <row r="9" spans="1:11" ht="12.75" customHeight="1" x14ac:dyDescent="0.3">
      <c r="A9" s="447" t="s">
        <v>844</v>
      </c>
      <c r="B9" s="1146"/>
      <c r="C9" s="1146"/>
      <c r="D9" s="533"/>
      <c r="E9" s="533"/>
      <c r="F9" s="1146"/>
      <c r="G9" s="1146"/>
      <c r="H9" s="1146"/>
      <c r="I9" s="1146"/>
      <c r="J9" s="536" t="s">
        <v>31</v>
      </c>
      <c r="K9" s="534"/>
    </row>
    <row r="10" spans="1:11" ht="27.65" customHeight="1" x14ac:dyDescent="0.3">
      <c r="A10" s="1148" t="s">
        <v>32</v>
      </c>
      <c r="B10" s="1149" t="s">
        <v>34</v>
      </c>
      <c r="C10" s="1149"/>
      <c r="D10" s="1149"/>
      <c r="E10" s="1149"/>
      <c r="F10" s="1149" t="s">
        <v>35</v>
      </c>
      <c r="G10" s="1149"/>
      <c r="H10" s="1149"/>
      <c r="I10" s="1149"/>
      <c r="J10" s="537" t="s">
        <v>845</v>
      </c>
      <c r="K10" s="1150"/>
    </row>
    <row r="11" spans="1:11" s="425" customFormat="1" ht="12.75" customHeight="1" x14ac:dyDescent="0.3">
      <c r="A11" s="1148"/>
      <c r="B11" s="1151" t="s">
        <v>40</v>
      </c>
      <c r="C11" s="1151"/>
      <c r="D11" s="1151"/>
      <c r="E11" s="1151"/>
      <c r="F11" s="1151" t="s">
        <v>41</v>
      </c>
      <c r="G11" s="1151"/>
      <c r="H11" s="1151"/>
      <c r="I11" s="1151"/>
      <c r="J11" s="539" t="s">
        <v>846</v>
      </c>
      <c r="K11" s="1150"/>
    </row>
    <row r="12" spans="1:11" ht="12.75" customHeight="1" x14ac:dyDescent="0.3">
      <c r="A12" s="540" t="s">
        <v>847</v>
      </c>
      <c r="B12" s="946"/>
      <c r="C12" s="946"/>
      <c r="D12" s="946"/>
      <c r="E12" s="946"/>
      <c r="F12" s="946"/>
      <c r="G12" s="946"/>
      <c r="H12" s="946"/>
      <c r="I12" s="946"/>
      <c r="J12" s="541">
        <f>B12-F12</f>
        <v>0</v>
      </c>
      <c r="K12" s="534"/>
    </row>
    <row r="13" spans="1:11" ht="12.75" customHeight="1" x14ac:dyDescent="0.3">
      <c r="A13" s="1152"/>
      <c r="B13" s="1152"/>
      <c r="C13" s="1152"/>
      <c r="D13" s="1152"/>
      <c r="E13" s="1152"/>
      <c r="F13" s="1152"/>
      <c r="G13" s="1152"/>
      <c r="H13" s="1152"/>
      <c r="I13" s="1152"/>
      <c r="J13" s="1152"/>
      <c r="K13" s="534"/>
    </row>
    <row r="14" spans="1:11" ht="27" customHeight="1" x14ac:dyDescent="0.3">
      <c r="A14" s="1148" t="s">
        <v>130</v>
      </c>
      <c r="B14" s="1149" t="s">
        <v>848</v>
      </c>
      <c r="C14" s="1149"/>
      <c r="D14" s="1149" t="s">
        <v>126</v>
      </c>
      <c r="E14" s="1149"/>
      <c r="F14" s="1153" t="s">
        <v>127</v>
      </c>
      <c r="G14" s="1153"/>
      <c r="H14" s="1153" t="s">
        <v>849</v>
      </c>
      <c r="I14" s="1153"/>
      <c r="J14" s="1154" t="s">
        <v>850</v>
      </c>
      <c r="K14" s="538"/>
    </row>
    <row r="15" spans="1:11" ht="27" customHeight="1" x14ac:dyDescent="0.3">
      <c r="A15" s="1148"/>
      <c r="B15" s="1149"/>
      <c r="C15" s="1149"/>
      <c r="D15" s="1149"/>
      <c r="E15" s="1149"/>
      <c r="F15" s="1153"/>
      <c r="G15" s="1153"/>
      <c r="H15" s="1153"/>
      <c r="I15" s="1153"/>
      <c r="J15" s="1154"/>
      <c r="K15" s="1150"/>
    </row>
    <row r="16" spans="1:11" ht="12.75" customHeight="1" x14ac:dyDescent="0.3">
      <c r="A16" s="1148"/>
      <c r="B16" s="1151" t="s">
        <v>131</v>
      </c>
      <c r="C16" s="1151"/>
      <c r="D16" s="1156" t="s">
        <v>132</v>
      </c>
      <c r="E16" s="1156"/>
      <c r="F16" s="1153"/>
      <c r="G16" s="1153"/>
      <c r="H16" s="1153"/>
      <c r="I16" s="1153"/>
      <c r="J16" s="542" t="s">
        <v>851</v>
      </c>
      <c r="K16" s="1150"/>
    </row>
    <row r="17" spans="1:11" ht="12.75" customHeight="1" x14ac:dyDescent="0.3">
      <c r="A17" s="543" t="s">
        <v>852</v>
      </c>
      <c r="B17" s="1157">
        <v>5704703.3600000003</v>
      </c>
      <c r="C17" s="1157"/>
      <c r="D17" s="1157">
        <v>1371734.17</v>
      </c>
      <c r="E17" s="1157"/>
      <c r="F17" s="1157">
        <v>1371734.17</v>
      </c>
      <c r="G17" s="1157"/>
      <c r="H17" s="1157"/>
      <c r="I17" s="1157"/>
      <c r="J17" s="544">
        <f>B17-D17</f>
        <v>4332969.1900000004</v>
      </c>
      <c r="K17" s="534"/>
    </row>
    <row r="18" spans="1:11" ht="12.75" customHeight="1" x14ac:dyDescent="0.3">
      <c r="A18" s="545" t="s">
        <v>853</v>
      </c>
      <c r="B18" s="1155"/>
      <c r="C18" s="1155"/>
      <c r="D18" s="1155"/>
      <c r="E18" s="1155"/>
      <c r="F18" s="1155"/>
      <c r="G18" s="1155"/>
      <c r="H18" s="1155"/>
      <c r="I18" s="1155"/>
      <c r="J18" s="546">
        <f>B18-D18</f>
        <v>0</v>
      </c>
      <c r="K18" s="534"/>
    </row>
    <row r="19" spans="1:11" ht="25.5" customHeight="1" x14ac:dyDescent="0.3">
      <c r="A19" s="547" t="s">
        <v>854</v>
      </c>
      <c r="B19" s="1155"/>
      <c r="C19" s="1155"/>
      <c r="D19" s="1155"/>
      <c r="E19" s="1155"/>
      <c r="F19" s="1155"/>
      <c r="G19" s="1155"/>
      <c r="H19" s="1155"/>
      <c r="I19" s="1155"/>
      <c r="J19" s="548">
        <f>B19-D19</f>
        <v>0</v>
      </c>
      <c r="K19" s="534"/>
    </row>
    <row r="20" spans="1:11" ht="12.75" customHeight="1" x14ac:dyDescent="0.3">
      <c r="A20" s="540" t="s">
        <v>855</v>
      </c>
      <c r="B20" s="1164">
        <f>B17-ABS(B18)-ABS(B19)</f>
        <v>5704703.3600000003</v>
      </c>
      <c r="C20" s="1164"/>
      <c r="D20" s="1164">
        <f>D17-ABS(D18)-ABS(D19)</f>
        <v>1371734.17</v>
      </c>
      <c r="E20" s="1164"/>
      <c r="F20" s="1164">
        <f>F17-ABS(F18)-ABS(F19)</f>
        <v>1371734.17</v>
      </c>
      <c r="G20" s="1164"/>
      <c r="H20" s="1164">
        <f>H17-ABS(H18)-ABS(H19)</f>
        <v>0</v>
      </c>
      <c r="I20" s="1164"/>
      <c r="J20" s="544">
        <f>B20-D20</f>
        <v>4332969.1900000004</v>
      </c>
      <c r="K20" s="534"/>
    </row>
    <row r="21" spans="1:11" ht="12.75" customHeight="1" x14ac:dyDescent="0.3">
      <c r="A21" s="1152"/>
      <c r="B21" s="1152"/>
      <c r="C21" s="1152"/>
      <c r="D21" s="1152"/>
      <c r="E21" s="1152"/>
      <c r="F21" s="1152"/>
      <c r="G21" s="1152"/>
      <c r="H21" s="1152"/>
      <c r="I21" s="1152"/>
      <c r="J21" s="1152"/>
      <c r="K21" s="534"/>
    </row>
    <row r="22" spans="1:11" ht="12.75" customHeight="1" x14ac:dyDescent="0.3">
      <c r="A22" s="549" t="s">
        <v>856</v>
      </c>
      <c r="B22" s="1158">
        <f>B12-B20</f>
        <v>-5704703.3600000003</v>
      </c>
      <c r="C22" s="1158"/>
      <c r="D22" s="1159">
        <f>F12-D20</f>
        <v>-1371734.17</v>
      </c>
      <c r="E22" s="1159"/>
      <c r="F22" s="1160"/>
      <c r="G22" s="1160"/>
      <c r="H22" s="1160"/>
      <c r="I22" s="1160"/>
      <c r="J22" s="1159">
        <f>J12-J20</f>
        <v>-4332969.1900000004</v>
      </c>
      <c r="K22" s="1150"/>
    </row>
    <row r="23" spans="1:11" ht="12.75" customHeight="1" x14ac:dyDescent="0.3">
      <c r="A23" s="550" t="s">
        <v>857</v>
      </c>
      <c r="B23" s="1158"/>
      <c r="C23" s="1158"/>
      <c r="D23" s="1159"/>
      <c r="E23" s="1159"/>
      <c r="F23" s="1160"/>
      <c r="G23" s="1160"/>
      <c r="H23" s="1160"/>
      <c r="I23" s="1160"/>
      <c r="J23" s="1159"/>
      <c r="K23" s="1150"/>
    </row>
    <row r="24" spans="1:11" ht="12.75" customHeight="1" x14ac:dyDescent="0.3">
      <c r="A24" s="1161" t="s">
        <v>160</v>
      </c>
      <c r="B24" s="1161"/>
      <c r="C24" s="1161"/>
      <c r="D24" s="1161"/>
      <c r="E24" s="1161"/>
      <c r="F24" s="1161"/>
      <c r="G24" s="1161"/>
      <c r="H24" s="1161"/>
      <c r="I24" s="1161"/>
      <c r="J24" s="1161"/>
      <c r="K24" s="534"/>
    </row>
    <row r="25" spans="1:11" ht="12.75" customHeight="1" x14ac:dyDescent="0.3">
      <c r="A25" s="1162" t="s">
        <v>858</v>
      </c>
      <c r="B25" s="1162"/>
      <c r="C25" s="1162"/>
      <c r="D25" s="1162"/>
      <c r="E25" s="1162"/>
      <c r="F25" s="1162"/>
      <c r="G25" s="1162"/>
      <c r="H25" s="1162"/>
      <c r="I25" s="1162"/>
      <c r="J25" s="1162"/>
      <c r="K25" s="1150"/>
    </row>
    <row r="26" spans="1:11" ht="12.75" customHeight="1" x14ac:dyDescent="0.3">
      <c r="A26" s="1163" t="s">
        <v>859</v>
      </c>
      <c r="B26" s="1163"/>
      <c r="C26" s="1163"/>
      <c r="D26" s="1163"/>
      <c r="E26" s="1163"/>
      <c r="F26" s="1163"/>
      <c r="G26" s="1163"/>
      <c r="H26" s="1163"/>
      <c r="I26" s="1163"/>
      <c r="J26" s="1163"/>
      <c r="K26" s="1150"/>
    </row>
  </sheetData>
  <sheetProtection password="F3F6" sheet="1"/>
  <mergeCells count="59"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B9:C9"/>
    <mergeCell ref="F9:I9"/>
    <mergeCell ref="A10:A11"/>
    <mergeCell ref="B10:E10"/>
    <mergeCell ref="F10:I10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A1:J1"/>
    <mergeCell ref="A2:B2"/>
    <mergeCell ref="C2:F2"/>
    <mergeCell ref="G2:H2"/>
    <mergeCell ref="I2:J2"/>
    <mergeCell ref="A3:J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140" zoomScaleNormal="140" workbookViewId="0">
      <selection activeCell="Q6" sqref="Q6"/>
    </sheetView>
  </sheetViews>
  <sheetFormatPr defaultColWidth="7.54296875" defaultRowHeight="11.25" customHeight="1" x14ac:dyDescent="0.25"/>
  <cols>
    <col min="1" max="1" width="9.7265625" style="551" customWidth="1"/>
    <col min="2" max="2" width="6" style="551" customWidth="1"/>
    <col min="3" max="3" width="13.7265625" style="551" customWidth="1"/>
    <col min="4" max="4" width="10" style="551" customWidth="1"/>
    <col min="5" max="5" width="11.7265625" style="551" customWidth="1"/>
    <col min="6" max="6" width="12.453125" style="551" customWidth="1"/>
    <col min="7" max="7" width="9.81640625" style="551" customWidth="1"/>
    <col min="8" max="8" width="15.81640625" style="551" customWidth="1"/>
    <col min="9" max="9" width="8.1796875" style="551" customWidth="1"/>
    <col min="10" max="10" width="25.453125" style="551" customWidth="1"/>
    <col min="11" max="11" width="2.1796875" style="551" customWidth="1"/>
    <col min="12" max="16384" width="7.54296875" style="551"/>
  </cols>
  <sheetData>
    <row r="1" spans="1:20" ht="15.75" customHeight="1" x14ac:dyDescent="0.3">
      <c r="A1" s="143" t="s">
        <v>860</v>
      </c>
      <c r="B1" s="552"/>
      <c r="C1" s="552"/>
    </row>
    <row r="2" spans="1:20" ht="11.25" customHeight="1" x14ac:dyDescent="0.25">
      <c r="L2" s="1165" t="s">
        <v>861</v>
      </c>
      <c r="M2" s="1165"/>
      <c r="N2" s="1165"/>
      <c r="O2" s="1165"/>
    </row>
    <row r="3" spans="1:20" ht="11.25" customHeight="1" x14ac:dyDescent="0.25">
      <c r="A3" s="1166" t="str">
        <f>'Informações Iniciais'!A1:B1</f>
        <v>ESTADO DO MARANHÃO - PREFEITURA MUNICIPAL DE DAVINOPOLIS</v>
      </c>
      <c r="B3" s="1166"/>
      <c r="C3" s="1166"/>
      <c r="D3" s="1166"/>
      <c r="E3" s="1166"/>
      <c r="F3" s="1166"/>
      <c r="G3" s="1166"/>
      <c r="H3" s="1166"/>
      <c r="I3" s="1166"/>
      <c r="J3" s="1166"/>
      <c r="L3" s="1165"/>
      <c r="M3" s="1165"/>
      <c r="N3" s="1165"/>
      <c r="O3" s="1165"/>
    </row>
    <row r="4" spans="1:20" ht="11.25" customHeight="1" x14ac:dyDescent="0.25">
      <c r="A4" s="1166" t="s">
        <v>1</v>
      </c>
      <c r="B4" s="1166"/>
      <c r="C4" s="1166"/>
      <c r="D4" s="1166"/>
      <c r="E4" s="1166"/>
      <c r="F4" s="1166"/>
      <c r="G4" s="1166"/>
      <c r="H4" s="1166"/>
      <c r="I4" s="1166"/>
      <c r="J4" s="1166"/>
    </row>
    <row r="5" spans="1:20" ht="11.25" customHeight="1" x14ac:dyDescent="0.25">
      <c r="A5" s="1167" t="s">
        <v>862</v>
      </c>
      <c r="B5" s="1167"/>
      <c r="C5" s="1167"/>
      <c r="D5" s="1167"/>
      <c r="E5" s="1167"/>
      <c r="F5" s="1167"/>
      <c r="G5" s="1167"/>
      <c r="H5" s="1167"/>
      <c r="I5" s="1167"/>
      <c r="J5" s="1167"/>
      <c r="L5" s="1168" t="s">
        <v>863</v>
      </c>
      <c r="M5" s="1168"/>
      <c r="N5" s="1168"/>
      <c r="O5" s="1168"/>
      <c r="P5" s="553"/>
      <c r="Q5" s="553"/>
      <c r="R5" s="553"/>
      <c r="S5" s="553"/>
      <c r="T5" s="553"/>
    </row>
    <row r="6" spans="1:20" ht="11.25" customHeight="1" x14ac:dyDescent="0.25">
      <c r="A6" s="1166" t="s">
        <v>408</v>
      </c>
      <c r="B6" s="1166"/>
      <c r="C6" s="1166"/>
      <c r="D6" s="1166"/>
      <c r="E6" s="1166"/>
      <c r="F6" s="1166"/>
      <c r="G6" s="1166"/>
      <c r="H6" s="1166"/>
      <c r="I6" s="1166"/>
      <c r="J6" s="1166"/>
      <c r="L6" s="1168"/>
      <c r="M6" s="1168"/>
      <c r="N6" s="1168"/>
      <c r="O6" s="1168"/>
      <c r="P6" s="553"/>
      <c r="Q6" s="553"/>
      <c r="R6" s="553"/>
      <c r="S6" s="553"/>
      <c r="T6" s="553"/>
    </row>
    <row r="7" spans="1:20" ht="11.25" customHeight="1" x14ac:dyDescent="0.25">
      <c r="A7" s="1166" t="str">
        <f>'Informações Iniciais'!A5:B5</f>
        <v>5º Bimestre de 2018</v>
      </c>
      <c r="B7" s="1166"/>
      <c r="C7" s="1166"/>
      <c r="D7" s="1166"/>
      <c r="E7" s="1166"/>
      <c r="F7" s="1166"/>
      <c r="G7" s="1166"/>
      <c r="H7" s="1166"/>
      <c r="I7" s="1166"/>
      <c r="J7" s="1166"/>
      <c r="L7" s="1168"/>
      <c r="M7" s="1168"/>
      <c r="N7" s="1168"/>
      <c r="O7" s="1168"/>
      <c r="P7" s="553"/>
      <c r="Q7" s="553"/>
      <c r="R7" s="553"/>
      <c r="S7" s="553"/>
      <c r="T7" s="553"/>
    </row>
    <row r="8" spans="1:20" ht="11.25" customHeight="1" x14ac:dyDescent="0.25">
      <c r="L8" s="1168"/>
      <c r="M8" s="1168"/>
      <c r="N8" s="1168"/>
      <c r="O8" s="1168"/>
      <c r="P8" s="553"/>
      <c r="Q8" s="553"/>
      <c r="R8" s="553"/>
      <c r="S8" s="553"/>
      <c r="T8" s="553"/>
    </row>
    <row r="9" spans="1:20" ht="11.25" customHeight="1" x14ac:dyDescent="0.25">
      <c r="A9" s="551" t="s">
        <v>864</v>
      </c>
      <c r="D9" s="554"/>
      <c r="E9" s="1169"/>
      <c r="F9" s="1169"/>
      <c r="G9" s="554"/>
      <c r="J9" s="555" t="s">
        <v>31</v>
      </c>
      <c r="L9" s="1168"/>
      <c r="M9" s="1168"/>
      <c r="N9" s="1168"/>
      <c r="O9" s="1168"/>
      <c r="P9" s="553"/>
      <c r="Q9" s="553"/>
      <c r="R9" s="553"/>
      <c r="S9" s="553"/>
      <c r="T9" s="553"/>
    </row>
    <row r="10" spans="1:20" ht="15" customHeight="1" x14ac:dyDescent="0.3">
      <c r="A10" s="1170" t="s">
        <v>865</v>
      </c>
      <c r="B10" s="1170"/>
      <c r="C10" s="1170"/>
      <c r="D10" s="1171" t="s">
        <v>866</v>
      </c>
      <c r="E10" s="1171"/>
      <c r="F10" s="1171" t="s">
        <v>130</v>
      </c>
      <c r="G10" s="1171"/>
      <c r="H10" s="1171" t="s">
        <v>867</v>
      </c>
      <c r="I10" s="1171"/>
      <c r="J10" s="556" t="s">
        <v>868</v>
      </c>
      <c r="L10" s="1168"/>
      <c r="M10" s="1168"/>
      <c r="N10" s="1168"/>
      <c r="O10" s="1168"/>
      <c r="P10" s="553"/>
      <c r="Q10" s="553"/>
      <c r="R10" s="553"/>
      <c r="S10" s="553"/>
      <c r="T10" s="553"/>
    </row>
    <row r="11" spans="1:20" ht="15" customHeight="1" x14ac:dyDescent="0.3">
      <c r="A11" s="1170"/>
      <c r="B11" s="1170"/>
      <c r="C11" s="1170"/>
      <c r="D11" s="1172" t="s">
        <v>869</v>
      </c>
      <c r="E11" s="1172"/>
      <c r="F11" s="1172" t="s">
        <v>869</v>
      </c>
      <c r="G11" s="1172"/>
      <c r="H11" s="1172" t="s">
        <v>870</v>
      </c>
      <c r="I11" s="1172"/>
      <c r="J11" s="557" t="s">
        <v>871</v>
      </c>
      <c r="L11" s="1168"/>
      <c r="M11" s="1168"/>
      <c r="N11" s="1168"/>
      <c r="O11" s="1168"/>
      <c r="P11" s="553"/>
      <c r="Q11" s="553"/>
      <c r="R11" s="553"/>
      <c r="S11" s="553"/>
      <c r="T11" s="553"/>
    </row>
    <row r="12" spans="1:20" ht="19.5" customHeight="1" x14ac:dyDescent="0.3">
      <c r="A12" s="1170"/>
      <c r="B12" s="1170"/>
      <c r="C12" s="1170"/>
      <c r="D12" s="1173" t="s">
        <v>40</v>
      </c>
      <c r="E12" s="1173"/>
      <c r="F12" s="1173" t="s">
        <v>41</v>
      </c>
      <c r="G12" s="1173"/>
      <c r="H12" s="1173" t="s">
        <v>872</v>
      </c>
      <c r="I12" s="1173"/>
      <c r="J12" s="558" t="s">
        <v>873</v>
      </c>
      <c r="L12" s="1168"/>
      <c r="M12" s="1168"/>
      <c r="N12" s="1168"/>
      <c r="O12" s="1168"/>
    </row>
    <row r="13" spans="1:20" ht="11.25" customHeight="1" x14ac:dyDescent="0.25">
      <c r="A13" s="1174">
        <v>2016</v>
      </c>
      <c r="B13" s="1174"/>
      <c r="C13" s="1174"/>
      <c r="D13" s="1175"/>
      <c r="E13" s="1175"/>
      <c r="F13" s="1175"/>
      <c r="G13" s="1175"/>
      <c r="H13" s="1176">
        <f t="shared" ref="H13:H89" si="0">D13-F13</f>
        <v>0</v>
      </c>
      <c r="I13" s="1176"/>
      <c r="J13" s="560"/>
      <c r="L13" s="1168"/>
      <c r="M13" s="1168"/>
      <c r="N13" s="1168"/>
      <c r="O13" s="1168"/>
    </row>
    <row r="14" spans="1:20" ht="11.25" customHeight="1" x14ac:dyDescent="0.25">
      <c r="A14" s="1177">
        <v>2017</v>
      </c>
      <c r="B14" s="1177"/>
      <c r="C14" s="1177"/>
      <c r="D14" s="1178"/>
      <c r="E14" s="1178"/>
      <c r="F14" s="1178"/>
      <c r="G14" s="1178"/>
      <c r="H14" s="1179">
        <f t="shared" si="0"/>
        <v>0</v>
      </c>
      <c r="I14" s="1179"/>
      <c r="J14" s="562">
        <f t="shared" ref="J14:J89" si="1">J13+H14</f>
        <v>0</v>
      </c>
      <c r="L14" s="1168"/>
      <c r="M14" s="1168"/>
      <c r="N14" s="1168"/>
      <c r="O14" s="1168"/>
    </row>
    <row r="15" spans="1:20" ht="11.25" customHeight="1" x14ac:dyDescent="0.25">
      <c r="A15" s="1177">
        <v>2018</v>
      </c>
      <c r="B15" s="1177"/>
      <c r="C15" s="1177"/>
      <c r="D15" s="1178"/>
      <c r="E15" s="1178"/>
      <c r="F15" s="1180"/>
      <c r="G15" s="1180"/>
      <c r="H15" s="1179">
        <f t="shared" si="0"/>
        <v>0</v>
      </c>
      <c r="I15" s="1179"/>
      <c r="J15" s="562">
        <f t="shared" si="1"/>
        <v>0</v>
      </c>
      <c r="L15" s="1168"/>
      <c r="M15" s="1168"/>
      <c r="N15" s="1168"/>
      <c r="O15" s="1168"/>
    </row>
    <row r="16" spans="1:20" ht="11.25" customHeight="1" x14ac:dyDescent="0.25">
      <c r="A16" s="1177">
        <v>2019</v>
      </c>
      <c r="B16" s="1177"/>
      <c r="C16" s="1177"/>
      <c r="D16" s="1178"/>
      <c r="E16" s="1178"/>
      <c r="F16" s="1180"/>
      <c r="G16" s="1180"/>
      <c r="H16" s="1179">
        <f t="shared" si="0"/>
        <v>0</v>
      </c>
      <c r="I16" s="1179"/>
      <c r="J16" s="562">
        <f t="shared" si="1"/>
        <v>0</v>
      </c>
      <c r="L16" s="1168"/>
      <c r="M16" s="1168"/>
      <c r="N16" s="1168"/>
      <c r="O16" s="1168"/>
    </row>
    <row r="17" spans="1:20" ht="15.75" customHeight="1" x14ac:dyDescent="0.25">
      <c r="A17" s="1177">
        <v>2020</v>
      </c>
      <c r="B17" s="1177"/>
      <c r="C17" s="1177"/>
      <c r="D17" s="1178"/>
      <c r="E17" s="1178"/>
      <c r="F17" s="1178"/>
      <c r="G17" s="1178"/>
      <c r="H17" s="1179">
        <f t="shared" si="0"/>
        <v>0</v>
      </c>
      <c r="I17" s="1179"/>
      <c r="J17" s="562">
        <f t="shared" si="1"/>
        <v>0</v>
      </c>
      <c r="L17" s="1168"/>
      <c r="M17" s="1168"/>
      <c r="N17" s="1168"/>
      <c r="O17" s="1168"/>
      <c r="P17" s="553"/>
      <c r="Q17" s="553"/>
      <c r="R17" s="553"/>
      <c r="S17" s="553"/>
      <c r="T17" s="553"/>
    </row>
    <row r="18" spans="1:20" ht="15.75" customHeight="1" x14ac:dyDescent="0.25">
      <c r="A18" s="1177">
        <v>2021</v>
      </c>
      <c r="B18" s="1177"/>
      <c r="C18" s="1177"/>
      <c r="D18" s="1178"/>
      <c r="E18" s="1178"/>
      <c r="F18" s="1178"/>
      <c r="G18" s="1178"/>
      <c r="H18" s="1179">
        <f t="shared" si="0"/>
        <v>0</v>
      </c>
      <c r="I18" s="1179"/>
      <c r="J18" s="562">
        <f t="shared" si="1"/>
        <v>0</v>
      </c>
      <c r="L18" s="1168"/>
      <c r="M18" s="1168"/>
      <c r="N18" s="1168"/>
      <c r="O18" s="1168"/>
      <c r="P18" s="553"/>
      <c r="Q18" s="553"/>
      <c r="R18" s="553"/>
      <c r="S18" s="553"/>
      <c r="T18" s="553"/>
    </row>
    <row r="19" spans="1:20" ht="15.75" customHeight="1" x14ac:dyDescent="0.25">
      <c r="A19" s="1177">
        <v>2022</v>
      </c>
      <c r="B19" s="1177"/>
      <c r="C19" s="1177"/>
      <c r="D19" s="1178"/>
      <c r="E19" s="1178"/>
      <c r="F19" s="1178"/>
      <c r="G19" s="1178"/>
      <c r="H19" s="1179">
        <f t="shared" si="0"/>
        <v>0</v>
      </c>
      <c r="I19" s="1179"/>
      <c r="J19" s="562">
        <f t="shared" si="1"/>
        <v>0</v>
      </c>
      <c r="L19" s="1168"/>
      <c r="M19" s="1168"/>
      <c r="N19" s="1168"/>
      <c r="O19" s="1168"/>
      <c r="P19" s="553"/>
      <c r="Q19" s="553"/>
      <c r="R19" s="553"/>
      <c r="S19" s="553"/>
      <c r="T19" s="553"/>
    </row>
    <row r="20" spans="1:20" ht="15.75" customHeight="1" x14ac:dyDescent="0.25">
      <c r="A20" s="1177">
        <v>2023</v>
      </c>
      <c r="B20" s="1177"/>
      <c r="C20" s="1177"/>
      <c r="D20" s="1178"/>
      <c r="E20" s="1178"/>
      <c r="F20" s="1178"/>
      <c r="G20" s="1178"/>
      <c r="H20" s="1179">
        <f t="shared" si="0"/>
        <v>0</v>
      </c>
      <c r="I20" s="1179"/>
      <c r="J20" s="562">
        <f t="shared" si="1"/>
        <v>0</v>
      </c>
      <c r="L20" s="1168"/>
      <c r="M20" s="1168"/>
      <c r="N20" s="1168"/>
      <c r="O20" s="1168"/>
      <c r="P20" s="553"/>
      <c r="Q20" s="553"/>
      <c r="R20" s="553"/>
      <c r="S20" s="553"/>
      <c r="T20" s="553"/>
    </row>
    <row r="21" spans="1:20" ht="15.75" customHeight="1" x14ac:dyDescent="0.25">
      <c r="A21" s="1177">
        <v>2024</v>
      </c>
      <c r="B21" s="1177"/>
      <c r="C21" s="1177"/>
      <c r="D21" s="1178"/>
      <c r="E21" s="1178"/>
      <c r="F21" s="1178"/>
      <c r="G21" s="1178"/>
      <c r="H21" s="1179">
        <f t="shared" si="0"/>
        <v>0</v>
      </c>
      <c r="I21" s="1179"/>
      <c r="J21" s="562">
        <f t="shared" si="1"/>
        <v>0</v>
      </c>
      <c r="L21" s="1168"/>
      <c r="M21" s="1168"/>
      <c r="N21" s="1168"/>
      <c r="O21" s="1168"/>
      <c r="P21" s="553"/>
      <c r="Q21" s="553"/>
      <c r="R21" s="553"/>
      <c r="S21" s="553"/>
      <c r="T21" s="553"/>
    </row>
    <row r="22" spans="1:20" ht="15.75" customHeight="1" x14ac:dyDescent="0.25">
      <c r="A22" s="1177">
        <v>2025</v>
      </c>
      <c r="B22" s="1177"/>
      <c r="C22" s="1177"/>
      <c r="D22" s="1178"/>
      <c r="E22" s="1178"/>
      <c r="F22" s="1178"/>
      <c r="G22" s="1178"/>
      <c r="H22" s="1179">
        <f t="shared" si="0"/>
        <v>0</v>
      </c>
      <c r="I22" s="1179"/>
      <c r="J22" s="562">
        <f t="shared" si="1"/>
        <v>0</v>
      </c>
      <c r="L22" s="1168"/>
      <c r="M22" s="1168"/>
      <c r="N22" s="1168"/>
      <c r="O22" s="1168"/>
      <c r="P22" s="553"/>
      <c r="Q22" s="553"/>
      <c r="R22" s="553"/>
      <c r="S22" s="553"/>
      <c r="T22" s="553"/>
    </row>
    <row r="23" spans="1:20" ht="15.75" customHeight="1" x14ac:dyDescent="0.25">
      <c r="A23" s="1177">
        <v>2026</v>
      </c>
      <c r="B23" s="1177"/>
      <c r="C23" s="1177"/>
      <c r="D23" s="1178"/>
      <c r="E23" s="1178"/>
      <c r="F23" s="1178"/>
      <c r="G23" s="1178"/>
      <c r="H23" s="1179">
        <f t="shared" si="0"/>
        <v>0</v>
      </c>
      <c r="I23" s="1179"/>
      <c r="J23" s="562">
        <f t="shared" si="1"/>
        <v>0</v>
      </c>
      <c r="L23" s="1168"/>
      <c r="M23" s="1168"/>
      <c r="N23" s="1168"/>
      <c r="O23" s="1168"/>
      <c r="P23" s="553"/>
      <c r="Q23" s="553"/>
      <c r="R23" s="553"/>
      <c r="S23" s="553"/>
      <c r="T23" s="553"/>
    </row>
    <row r="24" spans="1:20" ht="15.75" customHeight="1" x14ac:dyDescent="0.25">
      <c r="A24" s="1177">
        <v>2027</v>
      </c>
      <c r="B24" s="1177"/>
      <c r="C24" s="1177"/>
      <c r="D24" s="1178"/>
      <c r="E24" s="1178"/>
      <c r="F24" s="1178"/>
      <c r="G24" s="1178"/>
      <c r="H24" s="1179">
        <f t="shared" si="0"/>
        <v>0</v>
      </c>
      <c r="I24" s="1179"/>
      <c r="J24" s="562">
        <f t="shared" si="1"/>
        <v>0</v>
      </c>
      <c r="L24" s="1168"/>
      <c r="M24" s="1168"/>
      <c r="N24" s="1168"/>
      <c r="O24" s="1168"/>
      <c r="P24" s="553"/>
      <c r="Q24" s="553"/>
      <c r="R24" s="553"/>
      <c r="S24" s="553"/>
      <c r="T24" s="553"/>
    </row>
    <row r="25" spans="1:20" ht="15.75" customHeight="1" x14ac:dyDescent="0.25">
      <c r="A25" s="1177">
        <v>2028</v>
      </c>
      <c r="B25" s="1177"/>
      <c r="C25" s="1177"/>
      <c r="D25" s="1178"/>
      <c r="E25" s="1178"/>
      <c r="F25" s="1178"/>
      <c r="G25" s="1178"/>
      <c r="H25" s="1179">
        <f t="shared" si="0"/>
        <v>0</v>
      </c>
      <c r="I25" s="1179"/>
      <c r="J25" s="562">
        <f t="shared" si="1"/>
        <v>0</v>
      </c>
      <c r="L25" s="1168"/>
      <c r="M25" s="1168"/>
      <c r="N25" s="1168"/>
      <c r="O25" s="1168"/>
      <c r="P25" s="553"/>
      <c r="Q25" s="553"/>
      <c r="R25" s="553"/>
      <c r="S25" s="553"/>
      <c r="T25" s="553"/>
    </row>
    <row r="26" spans="1:20" ht="15.75" customHeight="1" x14ac:dyDescent="0.25">
      <c r="A26" s="1177">
        <v>2029</v>
      </c>
      <c r="B26" s="1177"/>
      <c r="C26" s="1177"/>
      <c r="D26" s="1178"/>
      <c r="E26" s="1178"/>
      <c r="F26" s="1178"/>
      <c r="G26" s="1178"/>
      <c r="H26" s="1179">
        <f t="shared" si="0"/>
        <v>0</v>
      </c>
      <c r="I26" s="1179"/>
      <c r="J26" s="562">
        <f t="shared" si="1"/>
        <v>0</v>
      </c>
      <c r="L26" s="1168"/>
      <c r="M26" s="1168"/>
      <c r="N26" s="1168"/>
      <c r="O26" s="1168"/>
      <c r="P26" s="553"/>
      <c r="Q26" s="553"/>
      <c r="R26" s="553"/>
      <c r="S26" s="553"/>
      <c r="T26" s="553"/>
    </row>
    <row r="27" spans="1:20" ht="15.75" customHeight="1" x14ac:dyDescent="0.25">
      <c r="A27" s="1177">
        <v>2030</v>
      </c>
      <c r="B27" s="1177"/>
      <c r="C27" s="1177"/>
      <c r="D27" s="1178"/>
      <c r="E27" s="1178"/>
      <c r="F27" s="1178"/>
      <c r="G27" s="1178"/>
      <c r="H27" s="1179">
        <f t="shared" si="0"/>
        <v>0</v>
      </c>
      <c r="I27" s="1179"/>
      <c r="J27" s="562">
        <f t="shared" si="1"/>
        <v>0</v>
      </c>
      <c r="L27" s="1168"/>
      <c r="M27" s="1168"/>
      <c r="N27" s="1168"/>
      <c r="O27" s="1168"/>
      <c r="P27" s="553"/>
      <c r="Q27" s="553"/>
      <c r="R27" s="553"/>
      <c r="S27" s="553"/>
      <c r="T27" s="553"/>
    </row>
    <row r="28" spans="1:20" ht="15.75" customHeight="1" x14ac:dyDescent="0.25">
      <c r="A28" s="1177">
        <v>2031</v>
      </c>
      <c r="B28" s="1177"/>
      <c r="C28" s="1177"/>
      <c r="D28" s="1178"/>
      <c r="E28" s="1178"/>
      <c r="F28" s="1178"/>
      <c r="G28" s="1178"/>
      <c r="H28" s="1179">
        <f t="shared" si="0"/>
        <v>0</v>
      </c>
      <c r="I28" s="1179"/>
      <c r="J28" s="562">
        <f t="shared" si="1"/>
        <v>0</v>
      </c>
      <c r="L28" s="1168"/>
      <c r="M28" s="1168"/>
      <c r="N28" s="1168"/>
      <c r="O28" s="1168"/>
      <c r="P28" s="553"/>
      <c r="Q28" s="553"/>
      <c r="R28" s="553"/>
      <c r="S28" s="553"/>
      <c r="T28" s="553"/>
    </row>
    <row r="29" spans="1:20" ht="15.75" customHeight="1" x14ac:dyDescent="0.25">
      <c r="A29" s="1177">
        <v>2032</v>
      </c>
      <c r="B29" s="1177"/>
      <c r="C29" s="1177"/>
      <c r="D29" s="1178"/>
      <c r="E29" s="1178"/>
      <c r="F29" s="1178"/>
      <c r="G29" s="1178"/>
      <c r="H29" s="1179">
        <f t="shared" si="0"/>
        <v>0</v>
      </c>
      <c r="I29" s="1179"/>
      <c r="J29" s="562">
        <f t="shared" si="1"/>
        <v>0</v>
      </c>
      <c r="L29" s="1168"/>
      <c r="M29" s="1168"/>
      <c r="N29" s="1168"/>
      <c r="O29" s="1168"/>
      <c r="P29" s="553"/>
      <c r="Q29" s="553"/>
      <c r="R29" s="553"/>
      <c r="S29" s="553"/>
      <c r="T29" s="553"/>
    </row>
    <row r="30" spans="1:20" ht="15.75" customHeight="1" x14ac:dyDescent="0.25">
      <c r="A30" s="1177">
        <v>2033</v>
      </c>
      <c r="B30" s="1177"/>
      <c r="C30" s="1177"/>
      <c r="D30" s="1178"/>
      <c r="E30" s="1178"/>
      <c r="F30" s="1178"/>
      <c r="G30" s="1178"/>
      <c r="H30" s="1179">
        <f t="shared" si="0"/>
        <v>0</v>
      </c>
      <c r="I30" s="1179"/>
      <c r="J30" s="562">
        <f t="shared" si="1"/>
        <v>0</v>
      </c>
      <c r="L30" s="1168"/>
      <c r="M30" s="1168"/>
      <c r="N30" s="1168"/>
      <c r="O30" s="1168"/>
      <c r="P30" s="553"/>
      <c r="Q30" s="553"/>
      <c r="R30" s="553"/>
      <c r="S30" s="553"/>
      <c r="T30" s="553"/>
    </row>
    <row r="31" spans="1:20" ht="15.75" customHeight="1" x14ac:dyDescent="0.25">
      <c r="A31" s="1177">
        <v>2034</v>
      </c>
      <c r="B31" s="1177"/>
      <c r="C31" s="1177"/>
      <c r="D31" s="1178"/>
      <c r="E31" s="1178"/>
      <c r="F31" s="1178"/>
      <c r="G31" s="1178"/>
      <c r="H31" s="1179">
        <f t="shared" si="0"/>
        <v>0</v>
      </c>
      <c r="I31" s="1179"/>
      <c r="J31" s="562">
        <f t="shared" si="1"/>
        <v>0</v>
      </c>
      <c r="L31" s="1168"/>
      <c r="M31" s="1168"/>
      <c r="N31" s="1168"/>
      <c r="O31" s="1168"/>
      <c r="P31" s="553"/>
      <c r="Q31" s="553"/>
      <c r="R31" s="553"/>
      <c r="S31" s="553"/>
      <c r="T31" s="553"/>
    </row>
    <row r="32" spans="1:20" ht="15.75" customHeight="1" x14ac:dyDescent="0.25">
      <c r="A32" s="1177">
        <v>2035</v>
      </c>
      <c r="B32" s="1177"/>
      <c r="C32" s="1177"/>
      <c r="D32" s="1178"/>
      <c r="E32" s="1178"/>
      <c r="F32" s="1178"/>
      <c r="G32" s="1178"/>
      <c r="H32" s="1179">
        <f t="shared" si="0"/>
        <v>0</v>
      </c>
      <c r="I32" s="1179"/>
      <c r="J32" s="562">
        <f t="shared" si="1"/>
        <v>0</v>
      </c>
      <c r="L32" s="1168"/>
      <c r="M32" s="1168"/>
      <c r="N32" s="1168"/>
      <c r="O32" s="1168"/>
      <c r="P32" s="553"/>
      <c r="Q32" s="553"/>
      <c r="R32" s="553"/>
      <c r="S32" s="553"/>
      <c r="T32" s="553"/>
    </row>
    <row r="33" spans="1:20" ht="15.75" customHeight="1" x14ac:dyDescent="0.25">
      <c r="A33" s="1177">
        <v>2036</v>
      </c>
      <c r="B33" s="1177"/>
      <c r="C33" s="1177"/>
      <c r="D33" s="1178"/>
      <c r="E33" s="1178"/>
      <c r="F33" s="1178"/>
      <c r="G33" s="1178"/>
      <c r="H33" s="1179">
        <f t="shared" si="0"/>
        <v>0</v>
      </c>
      <c r="I33" s="1179"/>
      <c r="J33" s="562">
        <f t="shared" si="1"/>
        <v>0</v>
      </c>
      <c r="L33" s="1168"/>
      <c r="M33" s="1168"/>
      <c r="N33" s="1168"/>
      <c r="O33" s="1168"/>
      <c r="P33" s="553"/>
      <c r="Q33" s="553"/>
      <c r="R33" s="553"/>
      <c r="S33" s="553"/>
      <c r="T33" s="553"/>
    </row>
    <row r="34" spans="1:20" ht="15.75" customHeight="1" x14ac:dyDescent="0.25">
      <c r="A34" s="1177">
        <v>2037</v>
      </c>
      <c r="B34" s="1177"/>
      <c r="C34" s="1177"/>
      <c r="D34" s="1178"/>
      <c r="E34" s="1178"/>
      <c r="F34" s="1178"/>
      <c r="G34" s="1178"/>
      <c r="H34" s="1179">
        <f t="shared" si="0"/>
        <v>0</v>
      </c>
      <c r="I34" s="1179"/>
      <c r="J34" s="562">
        <f t="shared" si="1"/>
        <v>0</v>
      </c>
      <c r="L34" s="1168"/>
      <c r="M34" s="1168"/>
      <c r="N34" s="1168"/>
      <c r="O34" s="1168"/>
      <c r="P34" s="553"/>
      <c r="Q34" s="553"/>
      <c r="R34" s="553"/>
      <c r="S34" s="553"/>
      <c r="T34" s="553"/>
    </row>
    <row r="35" spans="1:20" ht="15.75" customHeight="1" x14ac:dyDescent="0.25">
      <c r="A35" s="1177">
        <v>2038</v>
      </c>
      <c r="B35" s="1177"/>
      <c r="C35" s="1177"/>
      <c r="D35" s="1178"/>
      <c r="E35" s="1178"/>
      <c r="F35" s="1178"/>
      <c r="G35" s="1178"/>
      <c r="H35" s="1179">
        <f t="shared" si="0"/>
        <v>0</v>
      </c>
      <c r="I35" s="1179"/>
      <c r="J35" s="562">
        <f t="shared" si="1"/>
        <v>0</v>
      </c>
      <c r="L35" s="1168"/>
      <c r="M35" s="1168"/>
      <c r="N35" s="1168"/>
      <c r="O35" s="1168"/>
      <c r="P35" s="553"/>
      <c r="Q35" s="553"/>
      <c r="R35" s="553"/>
      <c r="S35" s="553"/>
      <c r="T35" s="553"/>
    </row>
    <row r="36" spans="1:20" ht="15.75" customHeight="1" x14ac:dyDescent="0.25">
      <c r="A36" s="1177">
        <v>2039</v>
      </c>
      <c r="B36" s="1177"/>
      <c r="C36" s="1177"/>
      <c r="D36" s="1178"/>
      <c r="E36" s="1178"/>
      <c r="F36" s="1178"/>
      <c r="G36" s="1178"/>
      <c r="H36" s="1179">
        <f t="shared" si="0"/>
        <v>0</v>
      </c>
      <c r="I36" s="1179"/>
      <c r="J36" s="562">
        <f t="shared" si="1"/>
        <v>0</v>
      </c>
      <c r="L36" s="1168"/>
      <c r="M36" s="1168"/>
      <c r="N36" s="1168"/>
      <c r="O36" s="1168"/>
      <c r="P36" s="553"/>
      <c r="Q36" s="553"/>
      <c r="R36" s="553"/>
      <c r="S36" s="553"/>
      <c r="T36" s="553"/>
    </row>
    <row r="37" spans="1:20" ht="15.75" customHeight="1" x14ac:dyDescent="0.25">
      <c r="A37" s="1177">
        <v>2040</v>
      </c>
      <c r="B37" s="1177"/>
      <c r="C37" s="1177"/>
      <c r="D37" s="1178"/>
      <c r="E37" s="1178"/>
      <c r="F37" s="1178"/>
      <c r="G37" s="1178"/>
      <c r="H37" s="1179">
        <f t="shared" si="0"/>
        <v>0</v>
      </c>
      <c r="I37" s="1179"/>
      <c r="J37" s="562">
        <f t="shared" si="1"/>
        <v>0</v>
      </c>
      <c r="L37" s="1168"/>
      <c r="M37" s="1168"/>
      <c r="N37" s="1168"/>
      <c r="O37" s="1168"/>
      <c r="P37" s="553"/>
      <c r="Q37" s="553"/>
      <c r="R37" s="553"/>
      <c r="S37" s="553"/>
      <c r="T37" s="553"/>
    </row>
    <row r="38" spans="1:20" ht="15.75" customHeight="1" x14ac:dyDescent="0.25">
      <c r="A38" s="1177">
        <v>2041</v>
      </c>
      <c r="B38" s="1177"/>
      <c r="C38" s="1177"/>
      <c r="D38" s="1178"/>
      <c r="E38" s="1178"/>
      <c r="F38" s="1178"/>
      <c r="G38" s="1178"/>
      <c r="H38" s="1179">
        <f t="shared" si="0"/>
        <v>0</v>
      </c>
      <c r="I38" s="1179"/>
      <c r="J38" s="562">
        <f t="shared" si="1"/>
        <v>0</v>
      </c>
      <c r="L38" s="1168"/>
      <c r="M38" s="1168"/>
      <c r="N38" s="1168"/>
      <c r="O38" s="1168"/>
      <c r="P38" s="553"/>
      <c r="Q38" s="553"/>
      <c r="R38" s="553"/>
      <c r="S38" s="553"/>
      <c r="T38" s="553"/>
    </row>
    <row r="39" spans="1:20" ht="15.75" customHeight="1" x14ac:dyDescent="0.25">
      <c r="A39" s="1177">
        <v>2042</v>
      </c>
      <c r="B39" s="1177"/>
      <c r="C39" s="1177"/>
      <c r="D39" s="1178"/>
      <c r="E39" s="1178"/>
      <c r="F39" s="1178"/>
      <c r="G39" s="1178"/>
      <c r="H39" s="1179">
        <f t="shared" si="0"/>
        <v>0</v>
      </c>
      <c r="I39" s="1179"/>
      <c r="J39" s="562">
        <f t="shared" si="1"/>
        <v>0</v>
      </c>
      <c r="L39" s="1168"/>
      <c r="M39" s="1168"/>
      <c r="N39" s="1168"/>
      <c r="O39" s="1168"/>
      <c r="P39" s="553"/>
      <c r="Q39" s="553"/>
      <c r="R39" s="553"/>
      <c r="S39" s="553"/>
      <c r="T39" s="553"/>
    </row>
    <row r="40" spans="1:20" ht="15.75" customHeight="1" x14ac:dyDescent="0.25">
      <c r="A40" s="1177">
        <v>2043</v>
      </c>
      <c r="B40" s="1177"/>
      <c r="C40" s="1177"/>
      <c r="D40" s="1178"/>
      <c r="E40" s="1178"/>
      <c r="F40" s="1178"/>
      <c r="G40" s="1178"/>
      <c r="H40" s="1179">
        <f t="shared" si="0"/>
        <v>0</v>
      </c>
      <c r="I40" s="1179"/>
      <c r="J40" s="562">
        <f t="shared" si="1"/>
        <v>0</v>
      </c>
      <c r="L40" s="1168"/>
      <c r="M40" s="1168"/>
      <c r="N40" s="1168"/>
      <c r="O40" s="1168"/>
      <c r="P40" s="553"/>
      <c r="Q40" s="553"/>
      <c r="R40" s="553"/>
      <c r="S40" s="553"/>
      <c r="T40" s="553"/>
    </row>
    <row r="41" spans="1:20" ht="15.75" customHeight="1" x14ac:dyDescent="0.25">
      <c r="A41" s="1177">
        <v>2044</v>
      </c>
      <c r="B41" s="1177"/>
      <c r="C41" s="1177"/>
      <c r="D41" s="1178"/>
      <c r="E41" s="1178"/>
      <c r="F41" s="1178"/>
      <c r="G41" s="1178"/>
      <c r="H41" s="1179">
        <f t="shared" si="0"/>
        <v>0</v>
      </c>
      <c r="I41" s="1179"/>
      <c r="J41" s="562">
        <f t="shared" si="1"/>
        <v>0</v>
      </c>
      <c r="L41" s="1168"/>
      <c r="M41" s="1168"/>
      <c r="N41" s="1168"/>
      <c r="O41" s="1168"/>
      <c r="P41" s="553"/>
      <c r="Q41" s="553"/>
      <c r="R41" s="553"/>
      <c r="S41" s="553"/>
      <c r="T41" s="553"/>
    </row>
    <row r="42" spans="1:20" ht="15.75" customHeight="1" x14ac:dyDescent="0.25">
      <c r="A42" s="1177">
        <v>2045</v>
      </c>
      <c r="B42" s="1177"/>
      <c r="C42" s="1177"/>
      <c r="D42" s="1178"/>
      <c r="E42" s="1178"/>
      <c r="F42" s="1178"/>
      <c r="G42" s="1178"/>
      <c r="H42" s="1179">
        <f t="shared" si="0"/>
        <v>0</v>
      </c>
      <c r="I42" s="1179"/>
      <c r="J42" s="562">
        <f t="shared" si="1"/>
        <v>0</v>
      </c>
      <c r="L42" s="1168"/>
      <c r="M42" s="1168"/>
      <c r="N42" s="1168"/>
      <c r="O42" s="1168"/>
      <c r="P42" s="553"/>
      <c r="Q42" s="553"/>
      <c r="R42" s="553"/>
      <c r="S42" s="553"/>
      <c r="T42" s="553"/>
    </row>
    <row r="43" spans="1:20" ht="15.75" customHeight="1" x14ac:dyDescent="0.25">
      <c r="A43" s="1177">
        <v>2046</v>
      </c>
      <c r="B43" s="1177"/>
      <c r="C43" s="1177"/>
      <c r="D43" s="1178"/>
      <c r="E43" s="1178"/>
      <c r="F43" s="1178"/>
      <c r="G43" s="1178"/>
      <c r="H43" s="1179">
        <f t="shared" si="0"/>
        <v>0</v>
      </c>
      <c r="I43" s="1179"/>
      <c r="J43" s="562">
        <f t="shared" si="1"/>
        <v>0</v>
      </c>
      <c r="L43" s="1168"/>
      <c r="M43" s="1168"/>
      <c r="N43" s="1168"/>
      <c r="O43" s="1168"/>
      <c r="P43" s="553"/>
      <c r="Q43" s="553"/>
      <c r="R43" s="553"/>
      <c r="S43" s="553"/>
      <c r="T43" s="553"/>
    </row>
    <row r="44" spans="1:20" ht="15.75" customHeight="1" x14ac:dyDescent="0.25">
      <c r="A44" s="1177">
        <v>2047</v>
      </c>
      <c r="B44" s="1177"/>
      <c r="C44" s="1177"/>
      <c r="D44" s="1178"/>
      <c r="E44" s="1178"/>
      <c r="F44" s="1178"/>
      <c r="G44" s="1178"/>
      <c r="H44" s="1179">
        <f t="shared" si="0"/>
        <v>0</v>
      </c>
      <c r="I44" s="1179"/>
      <c r="J44" s="562">
        <f t="shared" si="1"/>
        <v>0</v>
      </c>
      <c r="L44" s="1168"/>
      <c r="M44" s="1168"/>
      <c r="N44" s="1168"/>
      <c r="O44" s="1168"/>
      <c r="P44" s="553"/>
      <c r="Q44" s="553"/>
      <c r="R44" s="553"/>
      <c r="S44" s="553"/>
      <c r="T44" s="553"/>
    </row>
    <row r="45" spans="1:20" ht="15.75" customHeight="1" x14ac:dyDescent="0.25">
      <c r="A45" s="1177">
        <v>2048</v>
      </c>
      <c r="B45" s="1177"/>
      <c r="C45" s="1177"/>
      <c r="D45" s="1178"/>
      <c r="E45" s="1178"/>
      <c r="F45" s="1178"/>
      <c r="G45" s="1178"/>
      <c r="H45" s="1179">
        <f t="shared" si="0"/>
        <v>0</v>
      </c>
      <c r="I45" s="1179"/>
      <c r="J45" s="562">
        <f t="shared" si="1"/>
        <v>0</v>
      </c>
      <c r="L45" s="1168"/>
      <c r="M45" s="1168"/>
      <c r="N45" s="1168"/>
      <c r="O45" s="1168"/>
      <c r="P45" s="553"/>
      <c r="Q45" s="553"/>
      <c r="R45" s="553"/>
      <c r="S45" s="553"/>
      <c r="T45" s="553"/>
    </row>
    <row r="46" spans="1:20" ht="15.75" customHeight="1" x14ac:dyDescent="0.25">
      <c r="A46" s="1177">
        <v>2049</v>
      </c>
      <c r="B46" s="1177"/>
      <c r="C46" s="1177"/>
      <c r="D46" s="1178"/>
      <c r="E46" s="1178"/>
      <c r="F46" s="1178"/>
      <c r="G46" s="1178"/>
      <c r="H46" s="1179">
        <f t="shared" si="0"/>
        <v>0</v>
      </c>
      <c r="I46" s="1179"/>
      <c r="J46" s="562">
        <f t="shared" si="1"/>
        <v>0</v>
      </c>
      <c r="L46" s="1168"/>
      <c r="M46" s="1168"/>
      <c r="N46" s="1168"/>
      <c r="O46" s="1168"/>
      <c r="P46" s="553"/>
      <c r="Q46" s="553"/>
      <c r="R46" s="553"/>
      <c r="S46" s="553"/>
      <c r="T46" s="553"/>
    </row>
    <row r="47" spans="1:20" ht="15.75" customHeight="1" x14ac:dyDescent="0.25">
      <c r="A47" s="1177">
        <v>2050</v>
      </c>
      <c r="B47" s="1177"/>
      <c r="C47" s="1177"/>
      <c r="D47" s="1178"/>
      <c r="E47" s="1178"/>
      <c r="F47" s="1178"/>
      <c r="G47" s="1178"/>
      <c r="H47" s="1179">
        <f t="shared" si="0"/>
        <v>0</v>
      </c>
      <c r="I47" s="1179"/>
      <c r="J47" s="562">
        <f t="shared" si="1"/>
        <v>0</v>
      </c>
      <c r="L47" s="1168"/>
      <c r="M47" s="1168"/>
      <c r="N47" s="1168"/>
      <c r="O47" s="1168"/>
      <c r="P47" s="553"/>
      <c r="Q47" s="553"/>
      <c r="R47" s="553"/>
      <c r="S47" s="553"/>
      <c r="T47" s="553"/>
    </row>
    <row r="48" spans="1:20" ht="15.75" customHeight="1" x14ac:dyDescent="0.25">
      <c r="A48" s="1177">
        <v>2051</v>
      </c>
      <c r="B48" s="1177"/>
      <c r="C48" s="1177"/>
      <c r="D48" s="1178"/>
      <c r="E48" s="1178"/>
      <c r="F48" s="1178"/>
      <c r="G48" s="1178"/>
      <c r="H48" s="1179">
        <f t="shared" si="0"/>
        <v>0</v>
      </c>
      <c r="I48" s="1179"/>
      <c r="J48" s="562">
        <f t="shared" si="1"/>
        <v>0</v>
      </c>
      <c r="L48" s="1168"/>
      <c r="M48" s="1168"/>
      <c r="N48" s="1168"/>
      <c r="O48" s="1168"/>
      <c r="P48" s="553"/>
      <c r="Q48" s="553"/>
      <c r="R48" s="553"/>
      <c r="S48" s="553"/>
      <c r="T48" s="553"/>
    </row>
    <row r="49" spans="1:20" ht="15.75" customHeight="1" x14ac:dyDescent="0.25">
      <c r="A49" s="1177">
        <v>2052</v>
      </c>
      <c r="B49" s="1177"/>
      <c r="C49" s="1177"/>
      <c r="D49" s="1178"/>
      <c r="E49" s="1178"/>
      <c r="F49" s="1178"/>
      <c r="G49" s="1178"/>
      <c r="H49" s="1179">
        <f t="shared" si="0"/>
        <v>0</v>
      </c>
      <c r="I49" s="1179"/>
      <c r="J49" s="562">
        <f t="shared" si="1"/>
        <v>0</v>
      </c>
      <c r="L49" s="1168"/>
      <c r="M49" s="1168"/>
      <c r="N49" s="1168"/>
      <c r="O49" s="1168"/>
      <c r="P49" s="553"/>
      <c r="Q49" s="553"/>
      <c r="R49" s="553"/>
      <c r="S49" s="553"/>
      <c r="T49" s="553"/>
    </row>
    <row r="50" spans="1:20" ht="15.75" customHeight="1" x14ac:dyDescent="0.25">
      <c r="A50" s="1177">
        <v>2053</v>
      </c>
      <c r="B50" s="1177"/>
      <c r="C50" s="1177"/>
      <c r="D50" s="1178"/>
      <c r="E50" s="1178"/>
      <c r="F50" s="1178"/>
      <c r="G50" s="1178"/>
      <c r="H50" s="1179">
        <f t="shared" si="0"/>
        <v>0</v>
      </c>
      <c r="I50" s="1179"/>
      <c r="J50" s="562">
        <f t="shared" si="1"/>
        <v>0</v>
      </c>
      <c r="L50" s="1168"/>
      <c r="M50" s="1168"/>
      <c r="N50" s="1168"/>
      <c r="O50" s="1168"/>
      <c r="P50" s="553"/>
      <c r="Q50" s="553"/>
      <c r="R50" s="553"/>
      <c r="S50" s="553"/>
      <c r="T50" s="553"/>
    </row>
    <row r="51" spans="1:20" ht="15.75" customHeight="1" x14ac:dyDescent="0.25">
      <c r="A51" s="1177">
        <v>2054</v>
      </c>
      <c r="B51" s="1177"/>
      <c r="C51" s="1177"/>
      <c r="D51" s="1178"/>
      <c r="E51" s="1178"/>
      <c r="F51" s="1178"/>
      <c r="G51" s="1178"/>
      <c r="H51" s="1179">
        <f t="shared" si="0"/>
        <v>0</v>
      </c>
      <c r="I51" s="1179"/>
      <c r="J51" s="562">
        <f t="shared" si="1"/>
        <v>0</v>
      </c>
      <c r="L51" s="1168"/>
      <c r="M51" s="1168"/>
      <c r="N51" s="1168"/>
      <c r="O51" s="1168"/>
      <c r="P51" s="553"/>
      <c r="Q51" s="553"/>
      <c r="R51" s="553"/>
      <c r="S51" s="553"/>
      <c r="T51" s="553"/>
    </row>
    <row r="52" spans="1:20" ht="15.75" customHeight="1" x14ac:dyDescent="0.25">
      <c r="A52" s="1177">
        <v>2055</v>
      </c>
      <c r="B52" s="1177"/>
      <c r="C52" s="1177"/>
      <c r="D52" s="1178"/>
      <c r="E52" s="1178"/>
      <c r="F52" s="1178"/>
      <c r="G52" s="1178"/>
      <c r="H52" s="1179">
        <f t="shared" si="0"/>
        <v>0</v>
      </c>
      <c r="I52" s="1179"/>
      <c r="J52" s="562">
        <f t="shared" si="1"/>
        <v>0</v>
      </c>
      <c r="L52" s="1168"/>
      <c r="M52" s="1168"/>
      <c r="N52" s="1168"/>
      <c r="O52" s="1168"/>
      <c r="P52" s="553"/>
      <c r="Q52" s="553"/>
      <c r="R52" s="553"/>
      <c r="S52" s="553"/>
      <c r="T52" s="553"/>
    </row>
    <row r="53" spans="1:20" ht="15.75" customHeight="1" x14ac:dyDescent="0.25">
      <c r="A53" s="1177">
        <v>2056</v>
      </c>
      <c r="B53" s="1177"/>
      <c r="C53" s="1177"/>
      <c r="D53" s="1178"/>
      <c r="E53" s="1178"/>
      <c r="F53" s="1178"/>
      <c r="G53" s="1178"/>
      <c r="H53" s="1179">
        <f t="shared" si="0"/>
        <v>0</v>
      </c>
      <c r="I53" s="1179"/>
      <c r="J53" s="562">
        <f t="shared" si="1"/>
        <v>0</v>
      </c>
      <c r="L53" s="1168"/>
      <c r="M53" s="1168"/>
      <c r="N53" s="1168"/>
      <c r="O53" s="1168"/>
      <c r="P53" s="553"/>
      <c r="Q53" s="553"/>
      <c r="R53" s="553"/>
      <c r="S53" s="553"/>
      <c r="T53" s="553"/>
    </row>
    <row r="54" spans="1:20" ht="15.75" customHeight="1" x14ac:dyDescent="0.25">
      <c r="A54" s="1177">
        <v>2057</v>
      </c>
      <c r="B54" s="1177"/>
      <c r="C54" s="1177"/>
      <c r="D54" s="1178"/>
      <c r="E54" s="1178"/>
      <c r="F54" s="1178"/>
      <c r="G54" s="1178"/>
      <c r="H54" s="1179">
        <f t="shared" si="0"/>
        <v>0</v>
      </c>
      <c r="I54" s="1179"/>
      <c r="J54" s="562">
        <f t="shared" si="1"/>
        <v>0</v>
      </c>
      <c r="L54" s="1168"/>
      <c r="M54" s="1168"/>
      <c r="N54" s="1168"/>
      <c r="O54" s="1168"/>
      <c r="P54" s="553"/>
      <c r="Q54" s="553"/>
      <c r="R54" s="553"/>
      <c r="S54" s="553"/>
      <c r="T54" s="553"/>
    </row>
    <row r="55" spans="1:20" ht="15.75" customHeight="1" x14ac:dyDescent="0.25">
      <c r="A55" s="1177">
        <v>2058</v>
      </c>
      <c r="B55" s="1177"/>
      <c r="C55" s="1177"/>
      <c r="D55" s="1178"/>
      <c r="E55" s="1178"/>
      <c r="F55" s="1178"/>
      <c r="G55" s="1178"/>
      <c r="H55" s="1179">
        <f t="shared" si="0"/>
        <v>0</v>
      </c>
      <c r="I55" s="1179"/>
      <c r="J55" s="562">
        <f t="shared" si="1"/>
        <v>0</v>
      </c>
      <c r="L55" s="1168"/>
      <c r="M55" s="1168"/>
      <c r="N55" s="1168"/>
      <c r="O55" s="1168"/>
      <c r="P55" s="553"/>
      <c r="Q55" s="553"/>
      <c r="R55" s="553"/>
      <c r="S55" s="553"/>
      <c r="T55" s="553"/>
    </row>
    <row r="56" spans="1:20" ht="15.75" customHeight="1" x14ac:dyDescent="0.25">
      <c r="A56" s="1177">
        <v>2059</v>
      </c>
      <c r="B56" s="1177"/>
      <c r="C56" s="1177"/>
      <c r="D56" s="1178"/>
      <c r="E56" s="1178"/>
      <c r="F56" s="1178"/>
      <c r="G56" s="1178"/>
      <c r="H56" s="1179">
        <f t="shared" si="0"/>
        <v>0</v>
      </c>
      <c r="I56" s="1179"/>
      <c r="J56" s="562">
        <f t="shared" si="1"/>
        <v>0</v>
      </c>
      <c r="L56" s="1168"/>
      <c r="M56" s="1168"/>
      <c r="N56" s="1168"/>
      <c r="O56" s="1168"/>
      <c r="P56" s="553"/>
      <c r="Q56" s="553"/>
      <c r="R56" s="553"/>
      <c r="S56" s="553"/>
      <c r="T56" s="553"/>
    </row>
    <row r="57" spans="1:20" ht="15.75" customHeight="1" x14ac:dyDescent="0.25">
      <c r="A57" s="1177">
        <v>2060</v>
      </c>
      <c r="B57" s="1177"/>
      <c r="C57" s="1177"/>
      <c r="D57" s="1178"/>
      <c r="E57" s="1178"/>
      <c r="F57" s="1178"/>
      <c r="G57" s="1178"/>
      <c r="H57" s="1179">
        <f t="shared" si="0"/>
        <v>0</v>
      </c>
      <c r="I57" s="1179"/>
      <c r="J57" s="562">
        <f t="shared" si="1"/>
        <v>0</v>
      </c>
      <c r="L57" s="1168"/>
      <c r="M57" s="1168"/>
      <c r="N57" s="1168"/>
      <c r="O57" s="1168"/>
      <c r="P57" s="553"/>
      <c r="Q57" s="553"/>
      <c r="R57" s="553"/>
      <c r="S57" s="553"/>
      <c r="T57" s="553"/>
    </row>
    <row r="58" spans="1:20" ht="15.75" customHeight="1" x14ac:dyDescent="0.25">
      <c r="A58" s="1177">
        <v>2061</v>
      </c>
      <c r="B58" s="1177"/>
      <c r="C58" s="1177"/>
      <c r="D58" s="1178"/>
      <c r="E58" s="1178"/>
      <c r="F58" s="1178"/>
      <c r="G58" s="1178"/>
      <c r="H58" s="1179">
        <f t="shared" si="0"/>
        <v>0</v>
      </c>
      <c r="I58" s="1179"/>
      <c r="J58" s="562">
        <f t="shared" si="1"/>
        <v>0</v>
      </c>
      <c r="L58" s="1168"/>
      <c r="M58" s="1168"/>
      <c r="N58" s="1168"/>
      <c r="O58" s="1168"/>
      <c r="P58" s="553"/>
      <c r="Q58" s="553"/>
      <c r="R58" s="553"/>
      <c r="S58" s="553"/>
      <c r="T58" s="553"/>
    </row>
    <row r="59" spans="1:20" ht="15.75" customHeight="1" x14ac:dyDescent="0.25">
      <c r="A59" s="1177">
        <v>2062</v>
      </c>
      <c r="B59" s="1177"/>
      <c r="C59" s="1177"/>
      <c r="D59" s="1178"/>
      <c r="E59" s="1178"/>
      <c r="F59" s="1178"/>
      <c r="G59" s="1178"/>
      <c r="H59" s="1179">
        <f t="shared" si="0"/>
        <v>0</v>
      </c>
      <c r="I59" s="1179"/>
      <c r="J59" s="562">
        <f t="shared" si="1"/>
        <v>0</v>
      </c>
      <c r="L59" s="1168"/>
      <c r="M59" s="1168"/>
      <c r="N59" s="1168"/>
      <c r="O59" s="1168"/>
      <c r="P59" s="553"/>
      <c r="Q59" s="553"/>
      <c r="R59" s="553"/>
      <c r="S59" s="553"/>
      <c r="T59" s="553"/>
    </row>
    <row r="60" spans="1:20" ht="15.75" customHeight="1" x14ac:dyDescent="0.25">
      <c r="A60" s="1177">
        <v>2063</v>
      </c>
      <c r="B60" s="1177"/>
      <c r="C60" s="1177"/>
      <c r="D60" s="1178"/>
      <c r="E60" s="1178"/>
      <c r="F60" s="1178"/>
      <c r="G60" s="1178"/>
      <c r="H60" s="1179">
        <f t="shared" si="0"/>
        <v>0</v>
      </c>
      <c r="I60" s="1179"/>
      <c r="J60" s="562">
        <f t="shared" si="1"/>
        <v>0</v>
      </c>
      <c r="L60" s="1168"/>
      <c r="M60" s="1168"/>
      <c r="N60" s="1168"/>
      <c r="O60" s="1168"/>
      <c r="P60" s="553"/>
      <c r="Q60" s="553"/>
      <c r="R60" s="553"/>
      <c r="S60" s="553"/>
      <c r="T60" s="553"/>
    </row>
    <row r="61" spans="1:20" ht="15.75" customHeight="1" x14ac:dyDescent="0.25">
      <c r="A61" s="1177">
        <v>2064</v>
      </c>
      <c r="B61" s="1177"/>
      <c r="C61" s="1177"/>
      <c r="D61" s="1178"/>
      <c r="E61" s="1178"/>
      <c r="F61" s="1178"/>
      <c r="G61" s="1178"/>
      <c r="H61" s="1179">
        <f t="shared" si="0"/>
        <v>0</v>
      </c>
      <c r="I61" s="1179"/>
      <c r="J61" s="562">
        <f t="shared" si="1"/>
        <v>0</v>
      </c>
      <c r="L61" s="1168"/>
      <c r="M61" s="1168"/>
      <c r="N61" s="1168"/>
      <c r="O61" s="1168"/>
      <c r="P61" s="553"/>
      <c r="Q61" s="553"/>
      <c r="R61" s="553"/>
      <c r="S61" s="553"/>
      <c r="T61" s="553"/>
    </row>
    <row r="62" spans="1:20" ht="15.75" customHeight="1" x14ac:dyDescent="0.25">
      <c r="A62" s="1177">
        <v>2065</v>
      </c>
      <c r="B62" s="1177"/>
      <c r="C62" s="1177"/>
      <c r="D62" s="1178"/>
      <c r="E62" s="1178"/>
      <c r="F62" s="1178"/>
      <c r="G62" s="1178"/>
      <c r="H62" s="1179">
        <f t="shared" si="0"/>
        <v>0</v>
      </c>
      <c r="I62" s="1179"/>
      <c r="J62" s="562">
        <f t="shared" si="1"/>
        <v>0</v>
      </c>
      <c r="L62" s="1168"/>
      <c r="M62" s="1168"/>
      <c r="N62" s="1168"/>
      <c r="O62" s="1168"/>
      <c r="P62" s="553"/>
      <c r="Q62" s="553"/>
      <c r="R62" s="553"/>
      <c r="S62" s="553"/>
      <c r="T62" s="553"/>
    </row>
    <row r="63" spans="1:20" ht="15.75" customHeight="1" x14ac:dyDescent="0.25">
      <c r="A63" s="1177">
        <v>2066</v>
      </c>
      <c r="B63" s="1177"/>
      <c r="C63" s="1177"/>
      <c r="D63" s="1178"/>
      <c r="E63" s="1178"/>
      <c r="F63" s="1178"/>
      <c r="G63" s="1178"/>
      <c r="H63" s="1179">
        <f t="shared" si="0"/>
        <v>0</v>
      </c>
      <c r="I63" s="1179"/>
      <c r="J63" s="562">
        <f t="shared" si="1"/>
        <v>0</v>
      </c>
      <c r="L63" s="1168"/>
      <c r="M63" s="1168"/>
      <c r="N63" s="1168"/>
      <c r="O63" s="1168"/>
      <c r="P63" s="553"/>
      <c r="Q63" s="553"/>
      <c r="R63" s="553"/>
      <c r="S63" s="553"/>
      <c r="T63" s="553"/>
    </row>
    <row r="64" spans="1:20" ht="15.75" customHeight="1" x14ac:dyDescent="0.25">
      <c r="A64" s="1177">
        <v>2067</v>
      </c>
      <c r="B64" s="1177"/>
      <c r="C64" s="1177"/>
      <c r="D64" s="1178"/>
      <c r="E64" s="1178"/>
      <c r="F64" s="1178"/>
      <c r="G64" s="1178"/>
      <c r="H64" s="1179">
        <f t="shared" si="0"/>
        <v>0</v>
      </c>
      <c r="I64" s="1179"/>
      <c r="J64" s="562">
        <f t="shared" si="1"/>
        <v>0</v>
      </c>
      <c r="L64" s="1168"/>
      <c r="M64" s="1168"/>
      <c r="N64" s="1168"/>
      <c r="O64" s="1168"/>
      <c r="P64" s="553"/>
      <c r="Q64" s="553"/>
      <c r="R64" s="553"/>
      <c r="S64" s="553"/>
      <c r="T64" s="553"/>
    </row>
    <row r="65" spans="1:20" ht="15.75" customHeight="1" x14ac:dyDescent="0.25">
      <c r="A65" s="1177">
        <v>2068</v>
      </c>
      <c r="B65" s="1177"/>
      <c r="C65" s="1177"/>
      <c r="D65" s="1178"/>
      <c r="E65" s="1178"/>
      <c r="F65" s="1178"/>
      <c r="G65" s="1178"/>
      <c r="H65" s="1179">
        <f t="shared" si="0"/>
        <v>0</v>
      </c>
      <c r="I65" s="1179"/>
      <c r="J65" s="562">
        <f t="shared" si="1"/>
        <v>0</v>
      </c>
      <c r="L65" s="1168"/>
      <c r="M65" s="1168"/>
      <c r="N65" s="1168"/>
      <c r="O65" s="1168"/>
      <c r="P65" s="553"/>
      <c r="Q65" s="553"/>
      <c r="R65" s="553"/>
      <c r="S65" s="553"/>
      <c r="T65" s="553"/>
    </row>
    <row r="66" spans="1:20" ht="15.75" customHeight="1" x14ac:dyDescent="0.25">
      <c r="A66" s="1177">
        <v>2069</v>
      </c>
      <c r="B66" s="1177"/>
      <c r="C66" s="1177"/>
      <c r="D66" s="1178"/>
      <c r="E66" s="1178"/>
      <c r="F66" s="1178"/>
      <c r="G66" s="1178"/>
      <c r="H66" s="1179">
        <f t="shared" si="0"/>
        <v>0</v>
      </c>
      <c r="I66" s="1179"/>
      <c r="J66" s="562">
        <f t="shared" si="1"/>
        <v>0</v>
      </c>
      <c r="L66" s="1168"/>
      <c r="M66" s="1168"/>
      <c r="N66" s="1168"/>
      <c r="O66" s="1168"/>
      <c r="P66" s="553"/>
      <c r="Q66" s="553"/>
      <c r="R66" s="553"/>
      <c r="S66" s="553"/>
      <c r="T66" s="553"/>
    </row>
    <row r="67" spans="1:20" ht="15.75" customHeight="1" x14ac:dyDescent="0.25">
      <c r="A67" s="1177">
        <v>2070</v>
      </c>
      <c r="B67" s="1177"/>
      <c r="C67" s="1177"/>
      <c r="D67" s="1178"/>
      <c r="E67" s="1178"/>
      <c r="F67" s="1178"/>
      <c r="G67" s="1178"/>
      <c r="H67" s="1179">
        <f t="shared" si="0"/>
        <v>0</v>
      </c>
      <c r="I67" s="1179"/>
      <c r="J67" s="562">
        <f t="shared" si="1"/>
        <v>0</v>
      </c>
      <c r="L67" s="1168"/>
      <c r="M67" s="1168"/>
      <c r="N67" s="1168"/>
      <c r="O67" s="1168"/>
      <c r="P67" s="553"/>
      <c r="Q67" s="553"/>
      <c r="R67" s="553"/>
      <c r="S67" s="553"/>
      <c r="T67" s="553"/>
    </row>
    <row r="68" spans="1:20" ht="15.75" customHeight="1" x14ac:dyDescent="0.25">
      <c r="A68" s="1177">
        <v>2071</v>
      </c>
      <c r="B68" s="1177"/>
      <c r="C68" s="1177"/>
      <c r="D68" s="1178"/>
      <c r="E68" s="1178"/>
      <c r="F68" s="1178"/>
      <c r="G68" s="1178"/>
      <c r="H68" s="1179">
        <f t="shared" si="0"/>
        <v>0</v>
      </c>
      <c r="I68" s="1179"/>
      <c r="J68" s="562">
        <f t="shared" si="1"/>
        <v>0</v>
      </c>
      <c r="L68" s="1168"/>
      <c r="M68" s="1168"/>
      <c r="N68" s="1168"/>
      <c r="O68" s="1168"/>
      <c r="P68" s="553"/>
      <c r="Q68" s="553"/>
      <c r="R68" s="553"/>
      <c r="S68" s="553"/>
      <c r="T68" s="553"/>
    </row>
    <row r="69" spans="1:20" ht="15.75" customHeight="1" x14ac:dyDescent="0.25">
      <c r="A69" s="1177">
        <v>2072</v>
      </c>
      <c r="B69" s="1177"/>
      <c r="C69" s="1177"/>
      <c r="D69" s="1178"/>
      <c r="E69" s="1178"/>
      <c r="F69" s="1178"/>
      <c r="G69" s="1178"/>
      <c r="H69" s="1179">
        <f t="shared" si="0"/>
        <v>0</v>
      </c>
      <c r="I69" s="1179"/>
      <c r="J69" s="562">
        <f t="shared" si="1"/>
        <v>0</v>
      </c>
      <c r="L69" s="1168"/>
      <c r="M69" s="1168"/>
      <c r="N69" s="1168"/>
      <c r="O69" s="1168"/>
      <c r="P69" s="553"/>
      <c r="Q69" s="553"/>
      <c r="R69" s="553"/>
      <c r="S69" s="553"/>
      <c r="T69" s="553"/>
    </row>
    <row r="70" spans="1:20" ht="15.75" customHeight="1" x14ac:dyDescent="0.25">
      <c r="A70" s="1177">
        <v>2073</v>
      </c>
      <c r="B70" s="1177"/>
      <c r="C70" s="1177"/>
      <c r="D70" s="1178"/>
      <c r="E70" s="1178"/>
      <c r="F70" s="1178"/>
      <c r="G70" s="1178"/>
      <c r="H70" s="1179">
        <f t="shared" si="0"/>
        <v>0</v>
      </c>
      <c r="I70" s="1179"/>
      <c r="J70" s="562">
        <f t="shared" si="1"/>
        <v>0</v>
      </c>
      <c r="L70" s="1168"/>
      <c r="M70" s="1168"/>
      <c r="N70" s="1168"/>
      <c r="O70" s="1168"/>
      <c r="P70" s="553"/>
      <c r="Q70" s="553"/>
      <c r="R70" s="553"/>
      <c r="S70" s="553"/>
      <c r="T70" s="553"/>
    </row>
    <row r="71" spans="1:20" ht="15.75" customHeight="1" x14ac:dyDescent="0.25">
      <c r="A71" s="1177">
        <v>2074</v>
      </c>
      <c r="B71" s="1177"/>
      <c r="C71" s="1177"/>
      <c r="D71" s="1178"/>
      <c r="E71" s="1178"/>
      <c r="F71" s="1178"/>
      <c r="G71" s="1178"/>
      <c r="H71" s="1179">
        <f t="shared" si="0"/>
        <v>0</v>
      </c>
      <c r="I71" s="1179"/>
      <c r="J71" s="562">
        <f t="shared" si="1"/>
        <v>0</v>
      </c>
      <c r="L71" s="1168"/>
      <c r="M71" s="1168"/>
      <c r="N71" s="1168"/>
      <c r="O71" s="1168"/>
      <c r="P71" s="553"/>
      <c r="Q71" s="553"/>
      <c r="R71" s="553"/>
      <c r="S71" s="553"/>
      <c r="T71" s="553"/>
    </row>
    <row r="72" spans="1:20" ht="15.75" customHeight="1" x14ac:dyDescent="0.25">
      <c r="A72" s="1177">
        <v>2075</v>
      </c>
      <c r="B72" s="1177"/>
      <c r="C72" s="1177"/>
      <c r="D72" s="1178"/>
      <c r="E72" s="1178"/>
      <c r="F72" s="1178"/>
      <c r="G72" s="1178"/>
      <c r="H72" s="1179">
        <f t="shared" si="0"/>
        <v>0</v>
      </c>
      <c r="I72" s="1179"/>
      <c r="J72" s="562">
        <f t="shared" si="1"/>
        <v>0</v>
      </c>
      <c r="L72" s="1168"/>
      <c r="M72" s="1168"/>
      <c r="N72" s="1168"/>
      <c r="O72" s="1168"/>
      <c r="P72" s="553"/>
      <c r="Q72" s="553"/>
      <c r="R72" s="553"/>
      <c r="S72" s="553"/>
      <c r="T72" s="553"/>
    </row>
    <row r="73" spans="1:20" ht="15.75" customHeight="1" x14ac:dyDescent="0.25">
      <c r="A73" s="1177">
        <v>2076</v>
      </c>
      <c r="B73" s="1177"/>
      <c r="C73" s="1177"/>
      <c r="D73" s="1178"/>
      <c r="E73" s="1178"/>
      <c r="F73" s="1178"/>
      <c r="G73" s="1178"/>
      <c r="H73" s="1179">
        <f t="shared" si="0"/>
        <v>0</v>
      </c>
      <c r="I73" s="1179"/>
      <c r="J73" s="562">
        <f t="shared" si="1"/>
        <v>0</v>
      </c>
      <c r="L73" s="1168"/>
      <c r="M73" s="1168"/>
      <c r="N73" s="1168"/>
      <c r="O73" s="1168"/>
      <c r="P73" s="553"/>
      <c r="Q73" s="553"/>
      <c r="R73" s="553"/>
      <c r="S73" s="553"/>
      <c r="T73" s="553"/>
    </row>
    <row r="74" spans="1:20" ht="15.75" customHeight="1" x14ac:dyDescent="0.25">
      <c r="A74" s="1177">
        <v>2077</v>
      </c>
      <c r="B74" s="1177"/>
      <c r="C74" s="1177"/>
      <c r="D74" s="1178"/>
      <c r="E74" s="1178"/>
      <c r="F74" s="1178"/>
      <c r="G74" s="1178"/>
      <c r="H74" s="1179">
        <f t="shared" si="0"/>
        <v>0</v>
      </c>
      <c r="I74" s="1179"/>
      <c r="J74" s="562">
        <f t="shared" si="1"/>
        <v>0</v>
      </c>
      <c r="L74" s="1168"/>
      <c r="M74" s="1168"/>
      <c r="N74" s="1168"/>
      <c r="O74" s="1168"/>
      <c r="P74" s="553"/>
      <c r="Q74" s="553"/>
      <c r="R74" s="553"/>
      <c r="S74" s="553"/>
      <c r="T74" s="553"/>
    </row>
    <row r="75" spans="1:20" ht="15.75" customHeight="1" x14ac:dyDescent="0.25">
      <c r="A75" s="1177">
        <v>2078</v>
      </c>
      <c r="B75" s="1177"/>
      <c r="C75" s="1177"/>
      <c r="D75" s="1178"/>
      <c r="E75" s="1178"/>
      <c r="F75" s="1178"/>
      <c r="G75" s="1178"/>
      <c r="H75" s="1179">
        <f t="shared" si="0"/>
        <v>0</v>
      </c>
      <c r="I75" s="1179"/>
      <c r="J75" s="562">
        <f t="shared" si="1"/>
        <v>0</v>
      </c>
      <c r="L75" s="1168"/>
      <c r="M75" s="1168"/>
      <c r="N75" s="1168"/>
      <c r="O75" s="1168"/>
      <c r="P75" s="553"/>
      <c r="Q75" s="553"/>
      <c r="R75" s="553"/>
      <c r="S75" s="553"/>
      <c r="T75" s="553"/>
    </row>
    <row r="76" spans="1:20" ht="15.75" customHeight="1" x14ac:dyDescent="0.25">
      <c r="A76" s="1177">
        <v>2079</v>
      </c>
      <c r="B76" s="1177"/>
      <c r="C76" s="1177"/>
      <c r="D76" s="1178"/>
      <c r="E76" s="1178"/>
      <c r="F76" s="1178"/>
      <c r="G76" s="1178"/>
      <c r="H76" s="1179">
        <f t="shared" si="0"/>
        <v>0</v>
      </c>
      <c r="I76" s="1179"/>
      <c r="J76" s="562">
        <f t="shared" si="1"/>
        <v>0</v>
      </c>
      <c r="L76" s="1168"/>
      <c r="M76" s="1168"/>
      <c r="N76" s="1168"/>
      <c r="O76" s="1168"/>
      <c r="P76" s="553"/>
      <c r="Q76" s="553"/>
      <c r="R76" s="553"/>
      <c r="S76" s="553"/>
      <c r="T76" s="553"/>
    </row>
    <row r="77" spans="1:20" ht="15.75" customHeight="1" x14ac:dyDescent="0.25">
      <c r="A77" s="1177">
        <v>2080</v>
      </c>
      <c r="B77" s="1177"/>
      <c r="C77" s="1177"/>
      <c r="D77" s="1178"/>
      <c r="E77" s="1178"/>
      <c r="F77" s="1178"/>
      <c r="G77" s="1178"/>
      <c r="H77" s="1179">
        <f t="shared" si="0"/>
        <v>0</v>
      </c>
      <c r="I77" s="1179"/>
      <c r="J77" s="562">
        <f t="shared" si="1"/>
        <v>0</v>
      </c>
      <c r="L77" s="1168"/>
      <c r="M77" s="1168"/>
      <c r="N77" s="1168"/>
      <c r="O77" s="1168"/>
      <c r="P77" s="553"/>
      <c r="Q77" s="553"/>
      <c r="R77" s="553"/>
      <c r="S77" s="553"/>
      <c r="T77" s="553"/>
    </row>
    <row r="78" spans="1:20" ht="15.75" customHeight="1" x14ac:dyDescent="0.25">
      <c r="A78" s="1177">
        <v>2081</v>
      </c>
      <c r="B78" s="1177"/>
      <c r="C78" s="1177"/>
      <c r="D78" s="1178"/>
      <c r="E78" s="1178"/>
      <c r="F78" s="1178"/>
      <c r="G78" s="1178"/>
      <c r="H78" s="1179">
        <f t="shared" si="0"/>
        <v>0</v>
      </c>
      <c r="I78" s="1179"/>
      <c r="J78" s="562">
        <f t="shared" si="1"/>
        <v>0</v>
      </c>
      <c r="L78" s="1168"/>
      <c r="M78" s="1168"/>
      <c r="N78" s="1168"/>
      <c r="O78" s="1168"/>
      <c r="P78" s="553"/>
      <c r="Q78" s="553"/>
      <c r="R78" s="553"/>
      <c r="S78" s="553"/>
      <c r="T78" s="553"/>
    </row>
    <row r="79" spans="1:20" ht="15.75" customHeight="1" x14ac:dyDescent="0.25">
      <c r="A79" s="1177">
        <v>2082</v>
      </c>
      <c r="B79" s="1177"/>
      <c r="C79" s="1177"/>
      <c r="D79" s="1178"/>
      <c r="E79" s="1178"/>
      <c r="F79" s="1178"/>
      <c r="G79" s="1178"/>
      <c r="H79" s="1179">
        <f t="shared" si="0"/>
        <v>0</v>
      </c>
      <c r="I79" s="1179"/>
      <c r="J79" s="562">
        <f t="shared" si="1"/>
        <v>0</v>
      </c>
      <c r="L79" s="1168"/>
      <c r="M79" s="1168"/>
      <c r="N79" s="1168"/>
      <c r="O79" s="1168"/>
      <c r="P79" s="553"/>
      <c r="Q79" s="553"/>
      <c r="R79" s="553"/>
      <c r="S79" s="553"/>
      <c r="T79" s="553"/>
    </row>
    <row r="80" spans="1:20" ht="15.75" customHeight="1" x14ac:dyDescent="0.25">
      <c r="A80" s="1177">
        <v>2083</v>
      </c>
      <c r="B80" s="1177"/>
      <c r="C80" s="1177"/>
      <c r="D80" s="1178"/>
      <c r="E80" s="1178"/>
      <c r="F80" s="1178"/>
      <c r="G80" s="1178"/>
      <c r="H80" s="1179">
        <f t="shared" si="0"/>
        <v>0</v>
      </c>
      <c r="I80" s="1179"/>
      <c r="J80" s="562">
        <f t="shared" si="1"/>
        <v>0</v>
      </c>
      <c r="L80" s="1168"/>
      <c r="M80" s="1168"/>
      <c r="N80" s="1168"/>
      <c r="O80" s="1168"/>
      <c r="P80" s="553"/>
      <c r="Q80" s="553"/>
      <c r="R80" s="553"/>
      <c r="S80" s="553"/>
      <c r="T80" s="553"/>
    </row>
    <row r="81" spans="1:20" ht="15.75" customHeight="1" x14ac:dyDescent="0.25">
      <c r="A81" s="1177">
        <v>2084</v>
      </c>
      <c r="B81" s="1177"/>
      <c r="C81" s="1177"/>
      <c r="D81" s="1178"/>
      <c r="E81" s="1178"/>
      <c r="F81" s="1178"/>
      <c r="G81" s="1178"/>
      <c r="H81" s="1179">
        <f t="shared" si="0"/>
        <v>0</v>
      </c>
      <c r="I81" s="1179"/>
      <c r="J81" s="562">
        <f t="shared" si="1"/>
        <v>0</v>
      </c>
      <c r="L81" s="1168"/>
      <c r="M81" s="1168"/>
      <c r="N81" s="1168"/>
      <c r="O81" s="1168"/>
      <c r="P81" s="553"/>
      <c r="Q81" s="553"/>
      <c r="R81" s="553"/>
      <c r="S81" s="553"/>
      <c r="T81" s="553"/>
    </row>
    <row r="82" spans="1:20" ht="15.75" customHeight="1" x14ac:dyDescent="0.25">
      <c r="A82" s="1177">
        <v>2085</v>
      </c>
      <c r="B82" s="1177"/>
      <c r="C82" s="1177"/>
      <c r="D82" s="1178"/>
      <c r="E82" s="1178"/>
      <c r="F82" s="1178"/>
      <c r="G82" s="1178"/>
      <c r="H82" s="1179">
        <f t="shared" si="0"/>
        <v>0</v>
      </c>
      <c r="I82" s="1179"/>
      <c r="J82" s="562">
        <f t="shared" si="1"/>
        <v>0</v>
      </c>
      <c r="L82" s="1168"/>
      <c r="M82" s="1168"/>
      <c r="N82" s="1168"/>
      <c r="O82" s="1168"/>
      <c r="P82" s="553"/>
      <c r="Q82" s="553"/>
      <c r="R82" s="553"/>
      <c r="S82" s="553"/>
      <c r="T82" s="553"/>
    </row>
    <row r="83" spans="1:20" ht="15.75" customHeight="1" x14ac:dyDescent="0.25">
      <c r="A83" s="1177">
        <v>2086</v>
      </c>
      <c r="B83" s="1177"/>
      <c r="C83" s="1177"/>
      <c r="D83" s="1178"/>
      <c r="E83" s="1178"/>
      <c r="F83" s="1178"/>
      <c r="G83" s="1178"/>
      <c r="H83" s="1179">
        <f t="shared" si="0"/>
        <v>0</v>
      </c>
      <c r="I83" s="1179"/>
      <c r="J83" s="562">
        <f t="shared" si="1"/>
        <v>0</v>
      </c>
      <c r="L83" s="1168"/>
      <c r="M83" s="1168"/>
      <c r="N83" s="1168"/>
      <c r="O83" s="1168"/>
      <c r="P83" s="553"/>
      <c r="Q83" s="553"/>
      <c r="R83" s="553"/>
      <c r="S83" s="553"/>
      <c r="T83" s="553"/>
    </row>
    <row r="84" spans="1:20" ht="15.75" customHeight="1" x14ac:dyDescent="0.25">
      <c r="A84" s="1177">
        <v>2087</v>
      </c>
      <c r="B84" s="1177"/>
      <c r="C84" s="1177"/>
      <c r="D84" s="1178"/>
      <c r="E84" s="1178"/>
      <c r="F84" s="1178"/>
      <c r="G84" s="1178"/>
      <c r="H84" s="1179">
        <f t="shared" si="0"/>
        <v>0</v>
      </c>
      <c r="I84" s="1179"/>
      <c r="J84" s="562">
        <f t="shared" si="1"/>
        <v>0</v>
      </c>
      <c r="L84" s="1168"/>
      <c r="M84" s="1168"/>
      <c r="N84" s="1168"/>
      <c r="O84" s="1168"/>
      <c r="P84" s="553"/>
      <c r="Q84" s="553"/>
      <c r="R84" s="553"/>
      <c r="S84" s="553"/>
      <c r="T84" s="553"/>
    </row>
    <row r="85" spans="1:20" ht="15.75" customHeight="1" x14ac:dyDescent="0.25">
      <c r="A85" s="1177">
        <v>2088</v>
      </c>
      <c r="B85" s="1177"/>
      <c r="C85" s="1177"/>
      <c r="D85" s="1178"/>
      <c r="E85" s="1178"/>
      <c r="F85" s="1178"/>
      <c r="G85" s="1178"/>
      <c r="H85" s="1179">
        <f t="shared" si="0"/>
        <v>0</v>
      </c>
      <c r="I85" s="1179"/>
      <c r="J85" s="562">
        <f t="shared" si="1"/>
        <v>0</v>
      </c>
      <c r="L85" s="1168"/>
      <c r="M85" s="1168"/>
      <c r="N85" s="1168"/>
      <c r="O85" s="1168"/>
      <c r="P85" s="553"/>
      <c r="Q85" s="553"/>
      <c r="R85" s="553"/>
      <c r="S85" s="553"/>
      <c r="T85" s="553"/>
    </row>
    <row r="86" spans="1:20" ht="15.75" customHeight="1" x14ac:dyDescent="0.25">
      <c r="A86" s="1177">
        <v>2089</v>
      </c>
      <c r="B86" s="1177"/>
      <c r="C86" s="1177"/>
      <c r="D86" s="1178"/>
      <c r="E86" s="1178"/>
      <c r="F86" s="1178"/>
      <c r="G86" s="1178"/>
      <c r="H86" s="1179">
        <f t="shared" si="0"/>
        <v>0</v>
      </c>
      <c r="I86" s="1179"/>
      <c r="J86" s="562">
        <f t="shared" si="1"/>
        <v>0</v>
      </c>
      <c r="L86" s="1168"/>
      <c r="M86" s="1168"/>
      <c r="N86" s="1168"/>
      <c r="O86" s="1168"/>
      <c r="P86" s="553"/>
      <c r="Q86" s="553"/>
      <c r="R86" s="553"/>
      <c r="S86" s="553"/>
      <c r="T86" s="553"/>
    </row>
    <row r="87" spans="1:20" ht="15.75" customHeight="1" x14ac:dyDescent="0.25">
      <c r="A87" s="1177">
        <v>2090</v>
      </c>
      <c r="B87" s="1177"/>
      <c r="C87" s="1177"/>
      <c r="D87" s="1178"/>
      <c r="E87" s="1178"/>
      <c r="F87" s="1178"/>
      <c r="G87" s="1178"/>
      <c r="H87" s="1179">
        <f t="shared" si="0"/>
        <v>0</v>
      </c>
      <c r="I87" s="1179"/>
      <c r="J87" s="562">
        <f t="shared" si="1"/>
        <v>0</v>
      </c>
      <c r="L87" s="1168"/>
      <c r="M87" s="1168"/>
      <c r="N87" s="1168"/>
      <c r="O87" s="1168"/>
      <c r="P87" s="553"/>
      <c r="Q87" s="553"/>
      <c r="R87" s="553"/>
      <c r="S87" s="553"/>
      <c r="T87" s="553"/>
    </row>
    <row r="88" spans="1:20" ht="15.75" customHeight="1" x14ac:dyDescent="0.25">
      <c r="A88" s="1177">
        <v>2091</v>
      </c>
      <c r="B88" s="1177"/>
      <c r="C88" s="1177"/>
      <c r="D88" s="1178"/>
      <c r="E88" s="1178"/>
      <c r="F88" s="1178"/>
      <c r="G88" s="1178"/>
      <c r="H88" s="1179">
        <f t="shared" si="0"/>
        <v>0</v>
      </c>
      <c r="I88" s="1179"/>
      <c r="J88" s="562">
        <f t="shared" si="1"/>
        <v>0</v>
      </c>
      <c r="L88" s="1168"/>
      <c r="M88" s="1168"/>
      <c r="N88" s="1168"/>
      <c r="O88" s="1168"/>
      <c r="P88" s="553"/>
      <c r="Q88" s="553"/>
      <c r="R88" s="553"/>
      <c r="S88" s="553"/>
      <c r="T88" s="553"/>
    </row>
    <row r="89" spans="1:20" ht="11.25" customHeight="1" x14ac:dyDescent="0.25">
      <c r="A89" s="1177">
        <v>2092</v>
      </c>
      <c r="B89" s="1177"/>
      <c r="C89" s="1177"/>
      <c r="D89" s="563"/>
      <c r="E89" s="563"/>
      <c r="F89" s="1181"/>
      <c r="G89" s="1181"/>
      <c r="H89" s="1182">
        <f t="shared" si="0"/>
        <v>0</v>
      </c>
      <c r="I89" s="1182"/>
      <c r="J89" s="562">
        <f t="shared" si="1"/>
        <v>0</v>
      </c>
      <c r="L89" s="1168"/>
      <c r="M89" s="1168"/>
      <c r="N89" s="1168"/>
      <c r="O89" s="1168"/>
    </row>
    <row r="90" spans="1:20" ht="27" customHeight="1" x14ac:dyDescent="0.25">
      <c r="A90" s="1183" t="s">
        <v>160</v>
      </c>
      <c r="B90" s="1183"/>
      <c r="C90" s="1183"/>
      <c r="D90" s="1183"/>
      <c r="E90" s="1183"/>
      <c r="F90" s="1183"/>
      <c r="G90" s="1183"/>
      <c r="H90" s="1183"/>
      <c r="I90" s="1183"/>
      <c r="J90" s="1183"/>
      <c r="L90" s="553"/>
      <c r="M90" s="553"/>
      <c r="N90" s="553"/>
      <c r="O90" s="553"/>
    </row>
    <row r="91" spans="1:20" ht="22.5" customHeight="1" x14ac:dyDescent="0.25">
      <c r="A91" s="1184" t="s">
        <v>874</v>
      </c>
      <c r="B91" s="1184"/>
      <c r="C91" s="1184"/>
      <c r="D91" s="1184"/>
      <c r="E91" s="1184"/>
      <c r="F91" s="1184"/>
      <c r="G91" s="1184"/>
      <c r="H91" s="1184"/>
      <c r="I91" s="1184"/>
      <c r="J91" s="1184"/>
      <c r="L91" s="553"/>
      <c r="M91" s="553"/>
      <c r="N91" s="553"/>
      <c r="O91" s="553"/>
    </row>
    <row r="92" spans="1:20" ht="24.75" customHeight="1" x14ac:dyDescent="0.25">
      <c r="A92" s="1184" t="s">
        <v>875</v>
      </c>
      <c r="B92" s="1184"/>
      <c r="C92" s="1184"/>
      <c r="D92" s="1184"/>
      <c r="E92" s="1184"/>
      <c r="F92" s="1184"/>
      <c r="G92" s="1184"/>
      <c r="H92" s="1184"/>
      <c r="I92" s="1184"/>
      <c r="J92" s="1184"/>
      <c r="L92" s="553"/>
      <c r="M92" s="553"/>
      <c r="N92" s="553"/>
      <c r="O92" s="553"/>
    </row>
  </sheetData>
  <sheetProtection password="F3F6" sheet="1"/>
  <mergeCells count="328"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140" zoomScaleNormal="140" workbookViewId="0">
      <selection activeCell="E28" sqref="E28"/>
    </sheetView>
  </sheetViews>
  <sheetFormatPr defaultColWidth="22" defaultRowHeight="11.25" customHeight="1" x14ac:dyDescent="0.25"/>
  <cols>
    <col min="1" max="1" width="47.7265625" style="565" customWidth="1"/>
    <col min="2" max="2" width="22.54296875" style="565" customWidth="1"/>
    <col min="3" max="3" width="14.54296875" style="565" customWidth="1"/>
    <col min="4" max="4" width="13.1796875" style="565" customWidth="1"/>
    <col min="5" max="5" width="14.1796875" style="565" customWidth="1"/>
    <col min="6" max="6" width="23.453125" style="565" customWidth="1"/>
    <col min="7" max="7" width="17.54296875" style="565" customWidth="1"/>
    <col min="8" max="8" width="18.81640625" style="566" customWidth="1"/>
    <col min="9" max="16384" width="22" style="565"/>
  </cols>
  <sheetData>
    <row r="1" spans="1:8" ht="15.75" customHeight="1" x14ac:dyDescent="0.3">
      <c r="A1" s="567" t="s">
        <v>876</v>
      </c>
    </row>
    <row r="3" spans="1:8" ht="11.25" customHeight="1" x14ac:dyDescent="0.25">
      <c r="A3" s="1185" t="str">
        <f>'Informações Iniciais'!A1</f>
        <v>ESTADO DO MARANHÃO - PREFEITURA MUNICIPAL DE DAVINOPOLIS</v>
      </c>
      <c r="B3" s="1185"/>
      <c r="C3" s="1185"/>
      <c r="D3" s="1185"/>
      <c r="E3" s="1185"/>
      <c r="F3" s="1185"/>
      <c r="G3" s="568"/>
    </row>
    <row r="4" spans="1:8" ht="11.25" customHeight="1" x14ac:dyDescent="0.25">
      <c r="A4" s="1185" t="s">
        <v>1</v>
      </c>
      <c r="B4" s="1185"/>
      <c r="C4" s="1185"/>
      <c r="D4" s="1185"/>
      <c r="E4" s="1185"/>
      <c r="F4" s="1185"/>
      <c r="G4" s="568"/>
    </row>
    <row r="5" spans="1:8" ht="11.25" customHeight="1" x14ac:dyDescent="0.25">
      <c r="A5" s="1186" t="s">
        <v>877</v>
      </c>
      <c r="B5" s="1186"/>
      <c r="C5" s="1186"/>
      <c r="D5" s="1186"/>
      <c r="E5" s="1186"/>
      <c r="F5" s="1186"/>
      <c r="G5" s="569"/>
    </row>
    <row r="6" spans="1:8" ht="11.25" customHeight="1" x14ac:dyDescent="0.25">
      <c r="A6" s="1185" t="s">
        <v>29</v>
      </c>
      <c r="B6" s="1185"/>
      <c r="C6" s="1185"/>
      <c r="D6" s="1185"/>
      <c r="E6" s="1185"/>
      <c r="F6" s="1185"/>
      <c r="G6" s="568"/>
    </row>
    <row r="7" spans="1:8" ht="11.25" customHeight="1" x14ac:dyDescent="0.25">
      <c r="A7" s="1185" t="str">
        <f>'Informações Iniciais'!A5</f>
        <v>5º Bimestre de 2018</v>
      </c>
      <c r="B7" s="1185"/>
      <c r="C7" s="1185"/>
      <c r="D7" s="1185"/>
      <c r="E7" s="1185"/>
      <c r="F7" s="1185"/>
      <c r="G7" s="568"/>
    </row>
    <row r="9" spans="1:8" ht="11.25" customHeight="1" x14ac:dyDescent="0.25">
      <c r="A9" s="570" t="s">
        <v>878</v>
      </c>
      <c r="F9" s="571"/>
      <c r="G9" s="571"/>
      <c r="H9" s="571" t="s">
        <v>31</v>
      </c>
    </row>
    <row r="10" spans="1:8" ht="11.25" customHeight="1" x14ac:dyDescent="0.25">
      <c r="A10" s="1187" t="s">
        <v>32</v>
      </c>
      <c r="B10" s="572" t="s">
        <v>34</v>
      </c>
      <c r="C10" s="1188" t="s">
        <v>35</v>
      </c>
      <c r="D10" s="1188"/>
      <c r="E10" s="1188"/>
      <c r="F10" s="1188"/>
      <c r="G10" s="1188"/>
      <c r="H10" s="572" t="s">
        <v>36</v>
      </c>
    </row>
    <row r="11" spans="1:8" ht="11.25" customHeight="1" x14ac:dyDescent="0.25">
      <c r="A11" s="1187"/>
      <c r="B11" s="573" t="s">
        <v>40</v>
      </c>
      <c r="C11" s="1189" t="s">
        <v>41</v>
      </c>
      <c r="D11" s="1189"/>
      <c r="E11" s="1189"/>
      <c r="F11" s="1189"/>
      <c r="G11" s="1189"/>
      <c r="H11" s="573" t="s">
        <v>208</v>
      </c>
    </row>
    <row r="12" spans="1:8" ht="11.25" customHeight="1" x14ac:dyDescent="0.25">
      <c r="A12" s="574" t="s">
        <v>879</v>
      </c>
      <c r="B12" s="562">
        <f>SUM(B13:B14)</f>
        <v>0</v>
      </c>
      <c r="C12" s="1176">
        <f>SUM(C13:G14)</f>
        <v>0</v>
      </c>
      <c r="D12" s="1176"/>
      <c r="E12" s="1176"/>
      <c r="F12" s="1176"/>
      <c r="G12" s="1176"/>
      <c r="H12" s="562">
        <f>B12-C12</f>
        <v>0</v>
      </c>
    </row>
    <row r="13" spans="1:8" ht="11.25" customHeight="1" x14ac:dyDescent="0.25">
      <c r="A13" s="575" t="s">
        <v>880</v>
      </c>
      <c r="B13" s="576"/>
      <c r="C13" s="1178"/>
      <c r="D13" s="1178"/>
      <c r="E13" s="1178"/>
      <c r="F13" s="1178"/>
      <c r="G13" s="1178"/>
      <c r="H13" s="562">
        <f>B13-C13</f>
        <v>0</v>
      </c>
    </row>
    <row r="14" spans="1:8" ht="11.25" customHeight="1" x14ac:dyDescent="0.25">
      <c r="A14" s="575" t="s">
        <v>881</v>
      </c>
      <c r="B14" s="576"/>
      <c r="C14" s="1181"/>
      <c r="D14" s="1181"/>
      <c r="E14" s="1181"/>
      <c r="F14" s="1181"/>
      <c r="G14" s="1181"/>
      <c r="H14" s="562">
        <f>B14-C14</f>
        <v>0</v>
      </c>
    </row>
    <row r="15" spans="1:8" s="566" customFormat="1" ht="11.25" customHeight="1" x14ac:dyDescent="0.25">
      <c r="A15" s="577"/>
      <c r="B15" s="578"/>
      <c r="C15" s="578"/>
      <c r="D15" s="578"/>
      <c r="E15" s="578"/>
      <c r="F15" s="578"/>
      <c r="G15" s="578"/>
      <c r="H15" s="578"/>
    </row>
    <row r="16" spans="1:8" ht="11.25" customHeight="1" x14ac:dyDescent="0.25">
      <c r="A16" s="579"/>
      <c r="B16" s="580" t="s">
        <v>125</v>
      </c>
      <c r="C16" s="581" t="s">
        <v>882</v>
      </c>
      <c r="D16" s="582" t="s">
        <v>882</v>
      </c>
      <c r="E16" s="583" t="s">
        <v>883</v>
      </c>
      <c r="F16" s="584" t="s">
        <v>882</v>
      </c>
      <c r="G16" s="585" t="s">
        <v>884</v>
      </c>
      <c r="H16" s="572" t="s">
        <v>36</v>
      </c>
    </row>
    <row r="17" spans="1:13" ht="11.25" customHeight="1" x14ac:dyDescent="0.25">
      <c r="A17" s="586"/>
      <c r="B17" s="587"/>
      <c r="C17" s="588" t="s">
        <v>885</v>
      </c>
      <c r="D17" s="589" t="s">
        <v>886</v>
      </c>
      <c r="E17" s="590" t="s">
        <v>887</v>
      </c>
      <c r="F17" s="591" t="s">
        <v>888</v>
      </c>
      <c r="G17" s="592" t="s">
        <v>889</v>
      </c>
      <c r="H17" s="593"/>
    </row>
    <row r="18" spans="1:13" ht="11.25" customHeight="1" x14ac:dyDescent="0.25">
      <c r="A18" s="594" t="s">
        <v>130</v>
      </c>
      <c r="B18" s="587"/>
      <c r="C18" s="595"/>
      <c r="D18" s="589"/>
      <c r="E18" s="596"/>
      <c r="F18" s="597" t="s">
        <v>890</v>
      </c>
      <c r="G18" s="587"/>
      <c r="H18" s="589"/>
    </row>
    <row r="19" spans="1:13" ht="11.25" customHeight="1" x14ac:dyDescent="0.25">
      <c r="A19" s="598"/>
      <c r="B19" s="599" t="s">
        <v>131</v>
      </c>
      <c r="C19" s="600" t="s">
        <v>132</v>
      </c>
      <c r="D19" s="601"/>
      <c r="E19" s="600" t="s">
        <v>133</v>
      </c>
      <c r="F19" s="601"/>
      <c r="G19" s="600" t="s">
        <v>650</v>
      </c>
      <c r="H19" s="573" t="s">
        <v>891</v>
      </c>
    </row>
    <row r="20" spans="1:13" ht="11.25" customHeight="1" x14ac:dyDescent="0.25">
      <c r="A20" s="602" t="s">
        <v>892</v>
      </c>
      <c r="B20" s="603">
        <f t="shared" ref="B20:G20" si="0">B21+B25</f>
        <v>0</v>
      </c>
      <c r="C20" s="603">
        <f t="shared" si="0"/>
        <v>0</v>
      </c>
      <c r="D20" s="603">
        <f t="shared" si="0"/>
        <v>0</v>
      </c>
      <c r="E20" s="603">
        <f t="shared" si="0"/>
        <v>0</v>
      </c>
      <c r="F20" s="603">
        <f t="shared" si="0"/>
        <v>0</v>
      </c>
      <c r="G20" s="603">
        <f t="shared" si="0"/>
        <v>0</v>
      </c>
      <c r="H20" s="559">
        <f t="shared" ref="H20:H27" si="1">B20-E20</f>
        <v>0</v>
      </c>
    </row>
    <row r="21" spans="1:13" ht="11.25" customHeight="1" x14ac:dyDescent="0.25">
      <c r="A21" s="604" t="s">
        <v>495</v>
      </c>
      <c r="B21" s="605">
        <f t="shared" ref="B21:G21" si="2">SUM(B22:B24)</f>
        <v>0</v>
      </c>
      <c r="C21" s="605">
        <f t="shared" si="2"/>
        <v>0</v>
      </c>
      <c r="D21" s="605">
        <f t="shared" si="2"/>
        <v>0</v>
      </c>
      <c r="E21" s="605">
        <f t="shared" si="2"/>
        <v>0</v>
      </c>
      <c r="F21" s="605">
        <f t="shared" si="2"/>
        <v>0</v>
      </c>
      <c r="G21" s="605">
        <f t="shared" si="2"/>
        <v>0</v>
      </c>
      <c r="H21" s="561">
        <f t="shared" si="1"/>
        <v>0</v>
      </c>
    </row>
    <row r="22" spans="1:13" ht="11.25" customHeight="1" x14ac:dyDescent="0.25">
      <c r="A22" s="604" t="s">
        <v>893</v>
      </c>
      <c r="B22" s="576"/>
      <c r="C22" s="576"/>
      <c r="D22" s="576"/>
      <c r="E22" s="576"/>
      <c r="F22" s="576"/>
      <c r="G22" s="576"/>
      <c r="H22" s="561">
        <f t="shared" si="1"/>
        <v>0</v>
      </c>
    </row>
    <row r="23" spans="1:13" ht="11.25" customHeight="1" x14ac:dyDescent="0.25">
      <c r="A23" s="604" t="s">
        <v>894</v>
      </c>
      <c r="B23" s="576"/>
      <c r="C23" s="576"/>
      <c r="D23" s="576"/>
      <c r="E23" s="576"/>
      <c r="F23" s="576"/>
      <c r="G23" s="576"/>
      <c r="H23" s="561">
        <f t="shared" si="1"/>
        <v>0</v>
      </c>
    </row>
    <row r="24" spans="1:13" ht="11.25" customHeight="1" x14ac:dyDescent="0.25">
      <c r="A24" s="604" t="s">
        <v>895</v>
      </c>
      <c r="B24" s="576"/>
      <c r="C24" s="576"/>
      <c r="D24" s="576"/>
      <c r="E24" s="576"/>
      <c r="F24" s="576"/>
      <c r="G24" s="576"/>
      <c r="H24" s="561">
        <f t="shared" si="1"/>
        <v>0</v>
      </c>
    </row>
    <row r="25" spans="1:13" ht="11.25" customHeight="1" x14ac:dyDescent="0.25">
      <c r="A25" s="604" t="s">
        <v>896</v>
      </c>
      <c r="B25" s="605">
        <f t="shared" ref="B25:G25" si="3">SUM(B26:B27)</f>
        <v>0</v>
      </c>
      <c r="C25" s="605">
        <f t="shared" si="3"/>
        <v>0</v>
      </c>
      <c r="D25" s="605">
        <f t="shared" si="3"/>
        <v>0</v>
      </c>
      <c r="E25" s="605">
        <f t="shared" si="3"/>
        <v>0</v>
      </c>
      <c r="F25" s="605">
        <f t="shared" si="3"/>
        <v>0</v>
      </c>
      <c r="G25" s="605">
        <f t="shared" si="3"/>
        <v>0</v>
      </c>
      <c r="H25" s="561">
        <f t="shared" si="1"/>
        <v>0</v>
      </c>
    </row>
    <row r="26" spans="1:13" ht="11.25" customHeight="1" x14ac:dyDescent="0.25">
      <c r="A26" s="604" t="s">
        <v>897</v>
      </c>
      <c r="B26" s="576"/>
      <c r="C26" s="576"/>
      <c r="D26" s="576"/>
      <c r="E26" s="576"/>
      <c r="F26" s="576"/>
      <c r="G26" s="576"/>
      <c r="H26" s="561">
        <f t="shared" si="1"/>
        <v>0</v>
      </c>
    </row>
    <row r="27" spans="1:13" ht="11.25" customHeight="1" x14ac:dyDescent="0.25">
      <c r="A27" s="604" t="s">
        <v>898</v>
      </c>
      <c r="B27" s="576"/>
      <c r="C27" s="576"/>
      <c r="D27" s="576"/>
      <c r="E27" s="576"/>
      <c r="F27" s="576"/>
      <c r="G27" s="576"/>
      <c r="H27" s="564">
        <f t="shared" si="1"/>
        <v>0</v>
      </c>
    </row>
    <row r="28" spans="1:13" ht="11.25" customHeight="1" x14ac:dyDescent="0.25">
      <c r="A28" s="606"/>
      <c r="B28" s="607"/>
      <c r="C28" s="607"/>
      <c r="D28" s="607"/>
      <c r="E28" s="607"/>
      <c r="F28" s="608"/>
      <c r="G28" s="608"/>
      <c r="H28" s="608"/>
    </row>
    <row r="29" spans="1:13" ht="11.25" customHeight="1" x14ac:dyDescent="0.25">
      <c r="A29" s="1190" t="s">
        <v>899</v>
      </c>
      <c r="B29" s="609">
        <f>C29-1</f>
        <v>2016</v>
      </c>
      <c r="C29" s="1191">
        <v>2017</v>
      </c>
      <c r="D29" s="1191"/>
      <c r="E29" s="1191"/>
      <c r="F29" s="1191"/>
      <c r="G29" s="1191"/>
      <c r="H29" s="582" t="s">
        <v>900</v>
      </c>
    </row>
    <row r="30" spans="1:13" ht="11.25" customHeight="1" x14ac:dyDescent="0.25">
      <c r="A30" s="1190"/>
      <c r="B30" s="601" t="s">
        <v>651</v>
      </c>
      <c r="C30" s="599"/>
      <c r="D30" s="1192" t="s">
        <v>901</v>
      </c>
      <c r="E30" s="1192"/>
      <c r="F30" s="1192"/>
      <c r="G30" s="610"/>
      <c r="H30" s="601" t="s">
        <v>902</v>
      </c>
    </row>
    <row r="31" spans="1:13" ht="11.25" customHeight="1" x14ac:dyDescent="0.25">
      <c r="A31" s="611" t="s">
        <v>903</v>
      </c>
      <c r="B31" s="576"/>
      <c r="C31" s="1182">
        <f>C12-E20-G20</f>
        <v>0</v>
      </c>
      <c r="D31" s="1182"/>
      <c r="E31" s="1182"/>
      <c r="F31" s="1182"/>
      <c r="G31" s="1182"/>
      <c r="H31" s="612">
        <f>B31+C31</f>
        <v>0</v>
      </c>
    </row>
    <row r="32" spans="1:13" ht="16.5" customHeight="1" x14ac:dyDescent="0.25">
      <c r="A32" s="1193" t="s">
        <v>160</v>
      </c>
      <c r="B32" s="1193"/>
      <c r="C32" s="1193"/>
      <c r="D32" s="1193"/>
      <c r="E32" s="1193"/>
      <c r="F32" s="1193"/>
      <c r="G32" s="1193"/>
      <c r="H32" s="1193"/>
      <c r="I32" s="489"/>
      <c r="J32" s="489"/>
      <c r="K32" s="489"/>
      <c r="L32" s="489"/>
      <c r="M32" s="489"/>
    </row>
    <row r="33" spans="1:8" ht="11.25" customHeight="1" x14ac:dyDescent="0.25">
      <c r="A33" s="1194"/>
      <c r="B33" s="1194"/>
      <c r="C33" s="1194"/>
      <c r="D33" s="1194"/>
      <c r="E33" s="1194"/>
      <c r="F33" s="1194"/>
      <c r="G33" s="1194"/>
      <c r="H33" s="1194"/>
    </row>
    <row r="34" spans="1:8" ht="11.25" customHeight="1" x14ac:dyDescent="0.25">
      <c r="A34" s="1195"/>
      <c r="B34" s="1195"/>
      <c r="C34" s="1195"/>
      <c r="D34" s="1195"/>
      <c r="E34" s="1195"/>
      <c r="F34" s="1195"/>
      <c r="G34" s="1195"/>
      <c r="H34" s="1195"/>
    </row>
    <row r="35" spans="1:8" ht="11.25" customHeight="1" x14ac:dyDescent="0.25">
      <c r="A35" s="1185"/>
      <c r="B35" s="1185"/>
      <c r="C35" s="1185"/>
      <c r="D35" s="1185"/>
      <c r="E35" s="1185"/>
      <c r="F35" s="1185"/>
      <c r="G35" s="1185"/>
      <c r="H35" s="1185"/>
    </row>
    <row r="36" spans="1:8" ht="11.25" customHeight="1" x14ac:dyDescent="0.25">
      <c r="A36" s="1185"/>
      <c r="B36" s="1185"/>
      <c r="C36" s="1185"/>
      <c r="D36" s="1185"/>
      <c r="E36" s="1185"/>
      <c r="F36" s="1185"/>
      <c r="G36" s="1185"/>
      <c r="H36" s="1185"/>
    </row>
    <row r="39" spans="1:8" ht="11.25" customHeight="1" x14ac:dyDescent="0.25">
      <c r="D39" s="565" t="s">
        <v>904</v>
      </c>
    </row>
  </sheetData>
  <sheetProtection password="F3F6" sheet="1"/>
  <mergeCells count="20">
    <mergeCell ref="C31:G31"/>
    <mergeCell ref="A32:H32"/>
    <mergeCell ref="A33:H33"/>
    <mergeCell ref="A34:H34"/>
    <mergeCell ref="A35:H35"/>
    <mergeCell ref="A36:H36"/>
    <mergeCell ref="C12:G12"/>
    <mergeCell ref="C13:G13"/>
    <mergeCell ref="C14:G14"/>
    <mergeCell ref="A29:A30"/>
    <mergeCell ref="C29:G29"/>
    <mergeCell ref="D30:F30"/>
    <mergeCell ref="A3:F3"/>
    <mergeCell ref="A4:F4"/>
    <mergeCell ref="A5:F5"/>
    <mergeCell ref="A6:F6"/>
    <mergeCell ref="A7:F7"/>
    <mergeCell ref="A10:A11"/>
    <mergeCell ref="C10:G10"/>
    <mergeCell ref="C11:G11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E68" zoomScale="140" zoomScaleNormal="140" workbookViewId="0">
      <selection activeCell="A86" sqref="A85:B86"/>
    </sheetView>
  </sheetViews>
  <sheetFormatPr defaultColWidth="8.54296875" defaultRowHeight="14.65" customHeight="1" x14ac:dyDescent="0.25"/>
  <cols>
    <col min="1" max="1" width="78.453125" style="4" customWidth="1"/>
    <col min="2" max="2" width="17.54296875" style="4" customWidth="1"/>
    <col min="3" max="8" width="15.453125" style="4" customWidth="1"/>
    <col min="9" max="16384" width="8.54296875" style="613"/>
  </cols>
  <sheetData>
    <row r="1" spans="1:256" ht="17.149999999999999" customHeight="1" x14ac:dyDescent="0.3">
      <c r="A1" s="614" t="s">
        <v>905</v>
      </c>
      <c r="B1" s="615"/>
      <c r="C1" s="615"/>
      <c r="D1" s="615"/>
      <c r="E1" s="615"/>
      <c r="F1" s="616"/>
      <c r="G1" s="616"/>
    </row>
    <row r="2" spans="1:256" ht="14.65" customHeight="1" x14ac:dyDescent="0.25">
      <c r="A2" s="617"/>
      <c r="B2" s="617"/>
      <c r="C2" s="617"/>
      <c r="D2" s="617"/>
      <c r="E2" s="617"/>
      <c r="F2" s="616"/>
      <c r="G2" s="616"/>
    </row>
    <row r="3" spans="1:256" ht="14.65" customHeight="1" x14ac:dyDescent="0.25">
      <c r="A3" s="1196" t="str">
        <f>'Informações Iniciais'!A1</f>
        <v>ESTADO DO MARANHÃO - PREFEITURA MUNICIPAL DE DAVINOPOLIS</v>
      </c>
      <c r="B3" s="1196"/>
      <c r="C3" s="1196"/>
      <c r="D3" s="1196"/>
      <c r="E3" s="1196"/>
      <c r="F3" s="1196"/>
      <c r="G3" s="1196"/>
    </row>
    <row r="4" spans="1:256" ht="14.65" customHeight="1" x14ac:dyDescent="0.25">
      <c r="A4" s="1196" t="s">
        <v>1</v>
      </c>
      <c r="B4" s="1196"/>
      <c r="C4" s="1196"/>
      <c r="D4" s="1196"/>
      <c r="E4" s="1196"/>
      <c r="F4" s="1196"/>
      <c r="G4" s="1196"/>
    </row>
    <row r="5" spans="1:256" ht="14.65" customHeight="1" x14ac:dyDescent="0.25">
      <c r="A5" s="1197" t="s">
        <v>906</v>
      </c>
      <c r="B5" s="1197"/>
      <c r="C5" s="1197"/>
      <c r="D5" s="1197"/>
      <c r="E5" s="1197"/>
      <c r="F5" s="1197"/>
      <c r="G5" s="1197"/>
    </row>
    <row r="6" spans="1:256" ht="12.75" customHeight="1" x14ac:dyDescent="0.25">
      <c r="A6" s="1196" t="s">
        <v>29</v>
      </c>
      <c r="B6" s="1196"/>
      <c r="C6" s="1196"/>
      <c r="D6" s="1196"/>
      <c r="E6" s="1196"/>
      <c r="F6" s="1196"/>
      <c r="G6" s="1196"/>
      <c r="II6" s="1198" t="s">
        <v>2</v>
      </c>
      <c r="IJ6" s="1198"/>
      <c r="IK6" s="1198"/>
      <c r="IL6" s="1198"/>
      <c r="IM6" s="1198"/>
      <c r="IN6" s="1198"/>
      <c r="IO6" s="613">
        <f>IF($A$7=IP6,1,0)</f>
        <v>0</v>
      </c>
      <c r="IP6" s="870" t="s">
        <v>662</v>
      </c>
      <c r="IQ6" s="870"/>
      <c r="IR6" s="870"/>
      <c r="IS6" s="870"/>
      <c r="IT6" s="870"/>
      <c r="IU6" s="870"/>
      <c r="IV6" s="870"/>
    </row>
    <row r="7" spans="1:256" ht="14.65" customHeight="1" x14ac:dyDescent="0.25">
      <c r="A7" s="1197" t="str">
        <f>+'Informações Iniciais'!A5</f>
        <v>5º Bimestre de 2018</v>
      </c>
      <c r="B7" s="1197"/>
      <c r="C7" s="1197"/>
      <c r="D7" s="1197"/>
      <c r="E7" s="1197"/>
      <c r="F7" s="1197"/>
      <c r="G7" s="1197"/>
      <c r="II7" s="1198"/>
      <c r="IJ7" s="1198"/>
      <c r="IK7" s="1198"/>
      <c r="IL7" s="1198"/>
      <c r="IM7" s="1198"/>
      <c r="IN7" s="1198"/>
      <c r="IT7" s="613">
        <f t="shared" ref="IT7:IT12" si="0">IF($A$7=IV7,1,0)</f>
        <v>0</v>
      </c>
      <c r="IV7" s="618" t="s">
        <v>4</v>
      </c>
    </row>
    <row r="8" spans="1:256" ht="17.149999999999999" customHeight="1" x14ac:dyDescent="0.3">
      <c r="A8" s="1199" t="str">
        <f>IF(IT13=1,"","O período acima deve ser escolhido clicando na setinha ao lado da célula. A indicação de período diferente pode comprometer os dados da planilha!!!")</f>
        <v/>
      </c>
      <c r="B8" s="1199"/>
      <c r="C8" s="1199"/>
      <c r="D8" s="1199"/>
      <c r="E8" s="1199"/>
      <c r="F8" s="1199"/>
      <c r="G8" s="1199"/>
      <c r="II8" s="1198"/>
      <c r="IJ8" s="1198"/>
      <c r="IK8" s="1198"/>
      <c r="IL8" s="1198"/>
      <c r="IM8" s="1198"/>
      <c r="IN8" s="1198"/>
      <c r="IT8" s="613">
        <f t="shared" si="0"/>
        <v>0</v>
      </c>
      <c r="IV8" s="618" t="s">
        <v>6</v>
      </c>
    </row>
    <row r="9" spans="1:256" ht="14.65" customHeight="1" x14ac:dyDescent="0.25">
      <c r="A9" s="1200" t="s">
        <v>907</v>
      </c>
      <c r="B9" s="1200"/>
      <c r="C9" s="1200"/>
      <c r="D9" s="1200"/>
      <c r="E9" s="1200"/>
      <c r="F9" s="1200"/>
      <c r="G9" s="619" t="s">
        <v>31</v>
      </c>
      <c r="II9" s="1198"/>
      <c r="IJ9" s="1198"/>
      <c r="IK9" s="1198"/>
      <c r="IL9" s="1198"/>
      <c r="IM9" s="1198"/>
      <c r="IN9" s="1198"/>
      <c r="IT9" s="613">
        <f t="shared" si="0"/>
        <v>0</v>
      </c>
      <c r="IV9" s="618" t="s">
        <v>3</v>
      </c>
    </row>
    <row r="10" spans="1:256" ht="12.75" customHeight="1" x14ac:dyDescent="0.25">
      <c r="A10" s="620"/>
      <c r="B10" s="1201" t="s">
        <v>33</v>
      </c>
      <c r="C10" s="1201" t="s">
        <v>34</v>
      </c>
      <c r="D10" s="1202" t="s">
        <v>35</v>
      </c>
      <c r="E10" s="1202"/>
      <c r="F10" s="1202"/>
      <c r="G10" s="1202"/>
      <c r="II10" s="1198"/>
      <c r="IJ10" s="1198"/>
      <c r="IK10" s="1198"/>
      <c r="IL10" s="1198"/>
      <c r="IM10" s="1198"/>
      <c r="IN10" s="1198"/>
      <c r="IT10" s="613">
        <f t="shared" si="0"/>
        <v>0</v>
      </c>
      <c r="IV10" s="618" t="s">
        <v>8</v>
      </c>
    </row>
    <row r="11" spans="1:256" ht="14.65" customHeight="1" x14ac:dyDescent="0.25">
      <c r="A11" s="621" t="s">
        <v>908</v>
      </c>
      <c r="B11" s="1201"/>
      <c r="C11" s="1201"/>
      <c r="D11" s="1203" t="s">
        <v>39</v>
      </c>
      <c r="E11" s="1203"/>
      <c r="F11" s="1204" t="s">
        <v>38</v>
      </c>
      <c r="G11" s="1204"/>
      <c r="II11" s="1198"/>
      <c r="IJ11" s="1198"/>
      <c r="IK11" s="1198"/>
      <c r="IL11" s="1198"/>
      <c r="IM11" s="1198"/>
      <c r="IN11" s="1198"/>
      <c r="IT11" s="613">
        <f t="shared" si="0"/>
        <v>1</v>
      </c>
      <c r="IV11" s="618" t="s">
        <v>10</v>
      </c>
    </row>
    <row r="12" spans="1:256" ht="14.65" customHeight="1" x14ac:dyDescent="0.25">
      <c r="A12" s="623"/>
      <c r="B12" s="1201"/>
      <c r="C12" s="624" t="s">
        <v>40</v>
      </c>
      <c r="D12" s="1205" t="s">
        <v>41</v>
      </c>
      <c r="E12" s="1205"/>
      <c r="F12" s="1206" t="s">
        <v>909</v>
      </c>
      <c r="G12" s="1206"/>
      <c r="II12" s="1198"/>
      <c r="IJ12" s="1198"/>
      <c r="IK12" s="1198"/>
      <c r="IL12" s="1198"/>
      <c r="IM12" s="1198"/>
      <c r="IN12" s="1198"/>
      <c r="IT12" s="613">
        <f t="shared" si="0"/>
        <v>0</v>
      </c>
      <c r="IV12" s="618" t="s">
        <v>12</v>
      </c>
    </row>
    <row r="13" spans="1:256" ht="14.65" customHeight="1" x14ac:dyDescent="0.25">
      <c r="A13" s="625" t="s">
        <v>910</v>
      </c>
      <c r="B13" s="626">
        <f>SUM(B14:B21)</f>
        <v>800022.3</v>
      </c>
      <c r="C13" s="626">
        <f>SUM(C14:C21)</f>
        <v>800022.3</v>
      </c>
      <c r="D13" s="1207">
        <f>SUM(D14:D21)</f>
        <v>213963.77000000002</v>
      </c>
      <c r="E13" s="1207"/>
      <c r="F13" s="1208">
        <f t="shared" ref="F13:F31" si="1">IF(C13="",0,IF(C13=0,0,D13/C13))</f>
        <v>0.26744725740769976</v>
      </c>
      <c r="G13" s="1208"/>
      <c r="IT13" s="613">
        <f>SUM(IT7:IT12)+IO6</f>
        <v>1</v>
      </c>
    </row>
    <row r="14" spans="1:256" ht="14.65" customHeight="1" x14ac:dyDescent="0.25">
      <c r="A14" s="627" t="s">
        <v>911</v>
      </c>
      <c r="B14" s="628">
        <v>24375.33</v>
      </c>
      <c r="C14" s="863">
        <v>24375.33</v>
      </c>
      <c r="D14" s="1209">
        <v>336.68</v>
      </c>
      <c r="E14" s="1209"/>
      <c r="F14" s="1208">
        <f t="shared" si="1"/>
        <v>1.3812325822870911E-2</v>
      </c>
      <c r="G14" s="1208"/>
      <c r="IU14" s="631" t="s">
        <v>668</v>
      </c>
      <c r="IV14" s="613">
        <f>+'Informações Iniciais'!C23</f>
        <v>0</v>
      </c>
    </row>
    <row r="15" spans="1:256" ht="14.65" customHeight="1" x14ac:dyDescent="0.25">
      <c r="A15" s="627" t="s">
        <v>912</v>
      </c>
      <c r="B15" s="628">
        <v>21490.63</v>
      </c>
      <c r="C15" s="863">
        <v>21490.63</v>
      </c>
      <c r="D15" s="1209">
        <v>3877.74</v>
      </c>
      <c r="E15" s="1209"/>
      <c r="F15" s="1208">
        <f t="shared" si="1"/>
        <v>0.18043863767604765</v>
      </c>
      <c r="G15" s="1208"/>
    </row>
    <row r="16" spans="1:256" ht="14.65" customHeight="1" x14ac:dyDescent="0.25">
      <c r="A16" s="627" t="s">
        <v>913</v>
      </c>
      <c r="B16" s="628">
        <v>376036.34</v>
      </c>
      <c r="C16" s="863">
        <v>376036.34</v>
      </c>
      <c r="D16" s="1209">
        <v>209749.35</v>
      </c>
      <c r="E16" s="1209"/>
      <c r="F16" s="1208">
        <f t="shared" si="1"/>
        <v>0.55779010613708235</v>
      </c>
      <c r="G16" s="1208"/>
    </row>
    <row r="17" spans="1:7" ht="14.65" customHeight="1" x14ac:dyDescent="0.25">
      <c r="A17" s="627" t="s">
        <v>914</v>
      </c>
      <c r="B17" s="628">
        <v>378120</v>
      </c>
      <c r="C17" s="863">
        <v>378120</v>
      </c>
      <c r="D17" s="1209"/>
      <c r="E17" s="1209"/>
      <c r="F17" s="1208">
        <f t="shared" si="1"/>
        <v>0</v>
      </c>
      <c r="G17" s="1208"/>
    </row>
    <row r="18" spans="1:7" ht="14.65" customHeight="1" x14ac:dyDescent="0.25">
      <c r="A18" s="627" t="s">
        <v>915</v>
      </c>
      <c r="B18" s="628"/>
      <c r="C18" s="629"/>
      <c r="D18" s="1209"/>
      <c r="E18" s="1209"/>
      <c r="F18" s="1208">
        <f t="shared" si="1"/>
        <v>0</v>
      </c>
      <c r="G18" s="1208"/>
    </row>
    <row r="19" spans="1:7" ht="14.65" customHeight="1" x14ac:dyDescent="0.25">
      <c r="A19" s="627" t="s">
        <v>916</v>
      </c>
      <c r="B19" s="628"/>
      <c r="C19" s="629"/>
      <c r="D19" s="1209"/>
      <c r="E19" s="1209"/>
      <c r="F19" s="1208">
        <f t="shared" si="1"/>
        <v>0</v>
      </c>
      <c r="G19" s="1208"/>
    </row>
    <row r="20" spans="1:7" ht="14.65" customHeight="1" x14ac:dyDescent="0.25">
      <c r="A20" s="627" t="s">
        <v>917</v>
      </c>
      <c r="B20" s="628"/>
      <c r="C20" s="629"/>
      <c r="D20" s="1209"/>
      <c r="E20" s="1209"/>
      <c r="F20" s="1208">
        <f t="shared" si="1"/>
        <v>0</v>
      </c>
      <c r="G20" s="1208"/>
    </row>
    <row r="21" spans="1:7" ht="14.65" customHeight="1" x14ac:dyDescent="0.25">
      <c r="A21" s="627" t="s">
        <v>918</v>
      </c>
      <c r="B21" s="628"/>
      <c r="C21" s="629"/>
      <c r="D21" s="1209"/>
      <c r="E21" s="1209"/>
      <c r="F21" s="1208">
        <f t="shared" si="1"/>
        <v>0</v>
      </c>
      <c r="G21" s="1208"/>
    </row>
    <row r="22" spans="1:7" ht="14.65" customHeight="1" x14ac:dyDescent="0.25">
      <c r="A22" s="627" t="s">
        <v>919</v>
      </c>
      <c r="B22" s="626">
        <f>SUM(B23:B28)</f>
        <v>3786183.1899999995</v>
      </c>
      <c r="C22" s="626">
        <f>SUM(C23:C28)</f>
        <v>3786183.1899999995</v>
      </c>
      <c r="D22" s="1210">
        <f>SUM(D23:D28)</f>
        <v>12106180.189999999</v>
      </c>
      <c r="E22" s="1210"/>
      <c r="F22" s="1208">
        <f t="shared" si="1"/>
        <v>3.1974628755350851</v>
      </c>
      <c r="G22" s="1208"/>
    </row>
    <row r="23" spans="1:7" ht="14.65" customHeight="1" x14ac:dyDescent="0.25">
      <c r="A23" s="627" t="s">
        <v>920</v>
      </c>
      <c r="B23" s="864">
        <v>1467114.25</v>
      </c>
      <c r="C23" s="863">
        <v>1467114.25</v>
      </c>
      <c r="D23" s="1209">
        <v>6383800.7199999997</v>
      </c>
      <c r="E23" s="1209"/>
      <c r="F23" s="1208">
        <f t="shared" si="1"/>
        <v>4.3512635229328591</v>
      </c>
      <c r="G23" s="1208"/>
    </row>
    <row r="24" spans="1:7" ht="14.65" customHeight="1" x14ac:dyDescent="0.25">
      <c r="A24" s="627" t="s">
        <v>921</v>
      </c>
      <c r="B24" s="864">
        <v>113720.94</v>
      </c>
      <c r="C24" s="863">
        <v>113720.94</v>
      </c>
      <c r="D24" s="1209">
        <v>2355.29</v>
      </c>
      <c r="E24" s="1209"/>
      <c r="F24" s="1208">
        <f t="shared" si="1"/>
        <v>2.0711137280434017E-2</v>
      </c>
      <c r="G24" s="1208"/>
    </row>
    <row r="25" spans="1:7" ht="14.65" customHeight="1" x14ac:dyDescent="0.25">
      <c r="A25" s="627" t="s">
        <v>922</v>
      </c>
      <c r="B25" s="864">
        <v>314065.63</v>
      </c>
      <c r="C25" s="863">
        <v>314065.63</v>
      </c>
      <c r="D25" s="1209">
        <v>181166.17</v>
      </c>
      <c r="E25" s="1209"/>
      <c r="F25" s="1208">
        <f t="shared" si="1"/>
        <v>0.57684175756513056</v>
      </c>
      <c r="G25" s="1208"/>
    </row>
    <row r="26" spans="1:7" ht="14.65" customHeight="1" x14ac:dyDescent="0.25">
      <c r="A26" s="627" t="s">
        <v>923</v>
      </c>
      <c r="B26" s="864">
        <v>1742170.49</v>
      </c>
      <c r="C26" s="863">
        <v>1742170.49</v>
      </c>
      <c r="D26" s="1209">
        <v>5054616.45</v>
      </c>
      <c r="E26" s="1209"/>
      <c r="F26" s="1208">
        <f t="shared" si="1"/>
        <v>2.9013328368338969</v>
      </c>
      <c r="G26" s="1208"/>
    </row>
    <row r="27" spans="1:7" ht="14.65" customHeight="1" x14ac:dyDescent="0.25">
      <c r="A27" s="627" t="s">
        <v>924</v>
      </c>
      <c r="B27" s="864">
        <v>45460.94</v>
      </c>
      <c r="C27" s="863">
        <v>45460.94</v>
      </c>
      <c r="D27" s="1209">
        <v>416410.07</v>
      </c>
      <c r="E27" s="1209"/>
      <c r="F27" s="1208">
        <f t="shared" si="1"/>
        <v>9.1597329487687666</v>
      </c>
      <c r="G27" s="1208"/>
    </row>
    <row r="28" spans="1:7" ht="14.65" customHeight="1" x14ac:dyDescent="0.25">
      <c r="A28" s="627" t="s">
        <v>925</v>
      </c>
      <c r="B28" s="626">
        <f>SUM(B29:B30)</f>
        <v>103650.94</v>
      </c>
      <c r="C28" s="626">
        <f>SUM(C29:C30)</f>
        <v>103650.94</v>
      </c>
      <c r="D28" s="1210">
        <f>SUM(D29:D30)</f>
        <v>67831.489999999991</v>
      </c>
      <c r="E28" s="1210"/>
      <c r="F28" s="1208">
        <f t="shared" si="1"/>
        <v>0.65442233326586319</v>
      </c>
      <c r="G28" s="1208"/>
    </row>
    <row r="29" spans="1:7" ht="14.65" customHeight="1" x14ac:dyDescent="0.25">
      <c r="A29" s="627" t="s">
        <v>926</v>
      </c>
      <c r="B29" s="864">
        <v>103650.94</v>
      </c>
      <c r="C29" s="863">
        <v>103650.94</v>
      </c>
      <c r="D29" s="1209">
        <v>32044</v>
      </c>
      <c r="E29" s="1209"/>
      <c r="F29" s="1208">
        <f t="shared" si="1"/>
        <v>0.30915300912852312</v>
      </c>
      <c r="G29" s="1208"/>
    </row>
    <row r="30" spans="1:7" ht="14.65" customHeight="1" x14ac:dyDescent="0.25">
      <c r="A30" s="627" t="s">
        <v>927</v>
      </c>
      <c r="B30" s="633"/>
      <c r="C30" s="629"/>
      <c r="D30" s="1209">
        <v>35787.49</v>
      </c>
      <c r="E30" s="1209"/>
      <c r="F30" s="1208">
        <f t="shared" si="1"/>
        <v>0</v>
      </c>
      <c r="G30" s="1208"/>
    </row>
    <row r="31" spans="1:7" ht="14.65" customHeight="1" x14ac:dyDescent="0.25">
      <c r="A31" s="634" t="s">
        <v>928</v>
      </c>
      <c r="B31" s="635">
        <f>B13+B22</f>
        <v>4586205.4899999993</v>
      </c>
      <c r="C31" s="635">
        <f>C13+C22</f>
        <v>4586205.4899999993</v>
      </c>
      <c r="D31" s="1211">
        <f>D13+D22</f>
        <v>12320143.959999999</v>
      </c>
      <c r="E31" s="1211"/>
      <c r="F31" s="1212">
        <f t="shared" si="1"/>
        <v>2.6863480031288351</v>
      </c>
      <c r="G31" s="1212"/>
    </row>
    <row r="32" spans="1:7" ht="14.65" customHeight="1" x14ac:dyDescent="0.25">
      <c r="A32" s="636"/>
      <c r="B32" s="637"/>
      <c r="C32" s="636"/>
      <c r="D32" s="636"/>
      <c r="E32" s="636"/>
      <c r="F32" s="636"/>
      <c r="G32" s="636"/>
    </row>
    <row r="33" spans="1:8" ht="12.75" customHeight="1" x14ac:dyDescent="0.25">
      <c r="A33" s="1213" t="s">
        <v>929</v>
      </c>
      <c r="B33" s="1201" t="s">
        <v>33</v>
      </c>
      <c r="C33" s="1201" t="s">
        <v>34</v>
      </c>
      <c r="D33" s="1202" t="s">
        <v>35</v>
      </c>
      <c r="E33" s="1202"/>
      <c r="F33" s="1202"/>
      <c r="G33" s="1202"/>
    </row>
    <row r="34" spans="1:8" ht="14.65" customHeight="1" x14ac:dyDescent="0.25">
      <c r="A34" s="1213"/>
      <c r="B34" s="1201"/>
      <c r="C34" s="1201"/>
      <c r="D34" s="1203" t="s">
        <v>39</v>
      </c>
      <c r="E34" s="1203"/>
      <c r="F34" s="1204" t="s">
        <v>38</v>
      </c>
      <c r="G34" s="1204"/>
    </row>
    <row r="35" spans="1:8" ht="14.65" customHeight="1" x14ac:dyDescent="0.25">
      <c r="A35" s="1213"/>
      <c r="B35" s="1201"/>
      <c r="C35" s="624" t="s">
        <v>43</v>
      </c>
      <c r="D35" s="1205" t="s">
        <v>131</v>
      </c>
      <c r="E35" s="1205"/>
      <c r="F35" s="1206" t="s">
        <v>930</v>
      </c>
      <c r="G35" s="1206"/>
    </row>
    <row r="36" spans="1:8" ht="14.65" customHeight="1" x14ac:dyDescent="0.25">
      <c r="A36" s="638" t="s">
        <v>931</v>
      </c>
      <c r="B36" s="639">
        <f>SUM(B37:B40)</f>
        <v>0</v>
      </c>
      <c r="C36" s="639">
        <f>SUM(C37:C40)</f>
        <v>0</v>
      </c>
      <c r="D36" s="1207">
        <f>SUM(D37:D40)</f>
        <v>0</v>
      </c>
      <c r="E36" s="1207"/>
      <c r="F36" s="1208">
        <f t="shared" ref="F36:F44" si="2">IF(C36="",0,IF(C36=0,0,D36/C36))</f>
        <v>0</v>
      </c>
      <c r="G36" s="1208"/>
    </row>
    <row r="37" spans="1:8" ht="14.65" customHeight="1" x14ac:dyDescent="0.25">
      <c r="A37" s="638" t="s">
        <v>932</v>
      </c>
      <c r="B37" s="640"/>
      <c r="C37" s="629"/>
      <c r="D37" s="1209"/>
      <c r="E37" s="1209"/>
      <c r="F37" s="1208">
        <f t="shared" si="2"/>
        <v>0</v>
      </c>
      <c r="G37" s="1208"/>
    </row>
    <row r="38" spans="1:8" ht="14.65" customHeight="1" x14ac:dyDescent="0.25">
      <c r="A38" s="638" t="s">
        <v>933</v>
      </c>
      <c r="B38" s="640"/>
      <c r="C38" s="629"/>
      <c r="D38" s="1209"/>
      <c r="E38" s="1209"/>
      <c r="F38" s="1208">
        <f t="shared" si="2"/>
        <v>0</v>
      </c>
      <c r="G38" s="1208"/>
    </row>
    <row r="39" spans="1:8" ht="14.65" customHeight="1" x14ac:dyDescent="0.25">
      <c r="A39" s="638" t="s">
        <v>934</v>
      </c>
      <c r="B39" s="640"/>
      <c r="C39" s="629"/>
      <c r="D39" s="1209"/>
      <c r="E39" s="1209"/>
      <c r="F39" s="1208">
        <f t="shared" si="2"/>
        <v>0</v>
      </c>
      <c r="G39" s="1208"/>
    </row>
    <row r="40" spans="1:8" ht="14.65" customHeight="1" x14ac:dyDescent="0.25">
      <c r="A40" s="638" t="s">
        <v>935</v>
      </c>
      <c r="B40" s="640"/>
      <c r="C40" s="629"/>
      <c r="D40" s="1209"/>
      <c r="E40" s="1209"/>
      <c r="F40" s="1208">
        <f t="shared" si="2"/>
        <v>0</v>
      </c>
      <c r="G40" s="1208"/>
    </row>
    <row r="41" spans="1:8" ht="14.65" customHeight="1" x14ac:dyDescent="0.25">
      <c r="A41" s="638" t="s">
        <v>936</v>
      </c>
      <c r="B41" s="640"/>
      <c r="C41" s="629"/>
      <c r="D41" s="1209"/>
      <c r="E41" s="1209"/>
      <c r="F41" s="1208">
        <f t="shared" si="2"/>
        <v>0</v>
      </c>
      <c r="G41" s="1208"/>
    </row>
    <row r="42" spans="1:8" ht="14.65" customHeight="1" x14ac:dyDescent="0.25">
      <c r="A42" s="641" t="s">
        <v>937</v>
      </c>
      <c r="B42" s="640"/>
      <c r="C42" s="629"/>
      <c r="D42" s="1209"/>
      <c r="E42" s="1209"/>
      <c r="F42" s="1208">
        <f t="shared" si="2"/>
        <v>0</v>
      </c>
      <c r="G42" s="1208"/>
    </row>
    <row r="43" spans="1:8" ht="14.65" customHeight="1" x14ac:dyDescent="0.25">
      <c r="A43" s="642" t="s">
        <v>938</v>
      </c>
      <c r="B43" s="643"/>
      <c r="C43" s="644"/>
      <c r="D43" s="1209"/>
      <c r="E43" s="1209"/>
      <c r="F43" s="1208">
        <f t="shared" si="2"/>
        <v>0</v>
      </c>
      <c r="G43" s="1208"/>
    </row>
    <row r="44" spans="1:8" ht="14.65" customHeight="1" x14ac:dyDescent="0.25">
      <c r="A44" s="645" t="s">
        <v>939</v>
      </c>
      <c r="B44" s="646">
        <f>B36+B41+B42+B43</f>
        <v>0</v>
      </c>
      <c r="C44" s="646">
        <f>C36+C41+C42+C43</f>
        <v>0</v>
      </c>
      <c r="D44" s="1214">
        <f>D36+D41+D42+D43</f>
        <v>0</v>
      </c>
      <c r="E44" s="1214"/>
      <c r="F44" s="1212">
        <f t="shared" si="2"/>
        <v>0</v>
      </c>
      <c r="G44" s="1212"/>
    </row>
    <row r="45" spans="1:8" ht="14.65" customHeight="1" x14ac:dyDescent="0.25">
      <c r="A45" s="637"/>
      <c r="B45" s="637"/>
      <c r="C45" s="637"/>
      <c r="D45" s="637"/>
      <c r="E45" s="637"/>
      <c r="F45" s="647"/>
      <c r="G45" s="647"/>
      <c r="H45" s="648"/>
    </row>
    <row r="46" spans="1:8" ht="16.149999999999999" customHeight="1" x14ac:dyDescent="0.25">
      <c r="A46" s="1215" t="s">
        <v>940</v>
      </c>
      <c r="B46" s="1201" t="s">
        <v>124</v>
      </c>
      <c r="C46" s="1201" t="s">
        <v>125</v>
      </c>
      <c r="D46" s="1216" t="s">
        <v>126</v>
      </c>
      <c r="E46" s="1216"/>
      <c r="F46" s="1216" t="s">
        <v>127</v>
      </c>
      <c r="G46" s="1216"/>
      <c r="H46" s="1217" t="s">
        <v>941</v>
      </c>
    </row>
    <row r="47" spans="1:8" ht="16.149999999999999" customHeight="1" x14ac:dyDescent="0.25">
      <c r="A47" s="1215"/>
      <c r="B47" s="1201"/>
      <c r="C47" s="1201"/>
      <c r="D47" s="649" t="s">
        <v>39</v>
      </c>
      <c r="E47" s="650" t="s">
        <v>38</v>
      </c>
      <c r="F47" s="649" t="s">
        <v>39</v>
      </c>
      <c r="G47" s="650" t="s">
        <v>38</v>
      </c>
      <c r="H47" s="1217"/>
    </row>
    <row r="48" spans="1:8" ht="16.149999999999999" customHeight="1" x14ac:dyDescent="0.25">
      <c r="A48" s="651" t="s">
        <v>942</v>
      </c>
      <c r="B48" s="1201"/>
      <c r="C48" s="652" t="s">
        <v>132</v>
      </c>
      <c r="D48" s="653" t="s">
        <v>133</v>
      </c>
      <c r="E48" s="654" t="s">
        <v>943</v>
      </c>
      <c r="F48" s="653" t="s">
        <v>650</v>
      </c>
      <c r="G48" s="654" t="s">
        <v>944</v>
      </c>
      <c r="H48" s="1217"/>
    </row>
    <row r="49" spans="1:256" ht="14.65" customHeight="1" x14ac:dyDescent="0.3">
      <c r="A49" s="655" t="s">
        <v>945</v>
      </c>
      <c r="B49" s="656">
        <f>SUM(B50:B52)</f>
        <v>0</v>
      </c>
      <c r="C49" s="656">
        <f>SUM(C50:C52)</f>
        <v>0</v>
      </c>
      <c r="D49" s="656">
        <f>SUM(D50:D52)</f>
        <v>7551195.1600000001</v>
      </c>
      <c r="E49" s="478">
        <f t="shared" ref="E49:E57" si="3">IF($C49="",0,IF($C49=0,0,D49/$C49))</f>
        <v>0</v>
      </c>
      <c r="F49" s="657">
        <f>SUM(F50:F52)</f>
        <v>6298920.1299999999</v>
      </c>
      <c r="G49" s="449">
        <f t="shared" ref="G49:G57" si="4">IF($C49="",0,IF($C49=0,0,F49/$C49))</f>
        <v>0</v>
      </c>
      <c r="H49" s="639">
        <f>SUM(H50:H52)</f>
        <v>0</v>
      </c>
    </row>
    <row r="50" spans="1:256" ht="14.65" customHeight="1" x14ac:dyDescent="0.3">
      <c r="A50" s="636" t="s">
        <v>575</v>
      </c>
      <c r="B50" s="633"/>
      <c r="C50" s="633"/>
      <c r="D50" s="633">
        <v>7551195.1600000001</v>
      </c>
      <c r="E50" s="47">
        <f t="shared" si="3"/>
        <v>0</v>
      </c>
      <c r="F50" s="658">
        <v>6298920.1299999999</v>
      </c>
      <c r="G50" s="449">
        <f t="shared" si="4"/>
        <v>0</v>
      </c>
      <c r="H50" s="629"/>
    </row>
    <row r="51" spans="1:256" ht="14.65" customHeight="1" x14ac:dyDescent="0.3">
      <c r="A51" s="636" t="s">
        <v>946</v>
      </c>
      <c r="B51" s="633"/>
      <c r="C51" s="633"/>
      <c r="D51" s="633"/>
      <c r="E51" s="47">
        <f t="shared" si="3"/>
        <v>0</v>
      </c>
      <c r="F51" s="659"/>
      <c r="G51" s="449">
        <f t="shared" si="4"/>
        <v>0</v>
      </c>
      <c r="H51" s="629"/>
    </row>
    <row r="52" spans="1:256" ht="14.65" customHeight="1" x14ac:dyDescent="0.3">
      <c r="A52" s="636" t="s">
        <v>577</v>
      </c>
      <c r="B52" s="633"/>
      <c r="C52" s="633"/>
      <c r="D52" s="633"/>
      <c r="E52" s="47">
        <f t="shared" si="3"/>
        <v>0</v>
      </c>
      <c r="F52" s="659"/>
      <c r="G52" s="449">
        <f t="shared" si="4"/>
        <v>0</v>
      </c>
      <c r="H52" s="629"/>
    </row>
    <row r="53" spans="1:256" ht="14.65" customHeight="1" x14ac:dyDescent="0.3">
      <c r="A53" s="636" t="s">
        <v>852</v>
      </c>
      <c r="B53" s="626">
        <f>SUM(B54:B56)</f>
        <v>0</v>
      </c>
      <c r="C53" s="626">
        <f>SUM(C54:C56)</f>
        <v>0</v>
      </c>
      <c r="D53" s="626">
        <f>SUM(D54:D56)</f>
        <v>0</v>
      </c>
      <c r="E53" s="47">
        <f t="shared" si="3"/>
        <v>0</v>
      </c>
      <c r="F53" s="660">
        <f>SUM(F54:F56)</f>
        <v>0</v>
      </c>
      <c r="G53" s="449">
        <f t="shared" si="4"/>
        <v>0</v>
      </c>
      <c r="H53" s="661">
        <f>SUM(H54:H56)</f>
        <v>0</v>
      </c>
    </row>
    <row r="54" spans="1:256" ht="14.65" customHeight="1" x14ac:dyDescent="0.3">
      <c r="A54" s="617" t="s">
        <v>947</v>
      </c>
      <c r="B54" s="633"/>
      <c r="C54" s="662"/>
      <c r="D54" s="630"/>
      <c r="E54" s="47">
        <f t="shared" si="3"/>
        <v>0</v>
      </c>
      <c r="F54" s="663"/>
      <c r="G54" s="449">
        <f t="shared" si="4"/>
        <v>0</v>
      </c>
      <c r="H54" s="664"/>
    </row>
    <row r="55" spans="1:256" ht="14.65" customHeight="1" x14ac:dyDescent="0.3">
      <c r="A55" s="617" t="s">
        <v>581</v>
      </c>
      <c r="B55" s="633"/>
      <c r="C55" s="662"/>
      <c r="D55" s="630"/>
      <c r="E55" s="47">
        <f t="shared" si="3"/>
        <v>0</v>
      </c>
      <c r="F55" s="663"/>
      <c r="G55" s="449">
        <f t="shared" si="4"/>
        <v>0</v>
      </c>
      <c r="H55" s="664"/>
    </row>
    <row r="56" spans="1:256" ht="14.65" customHeight="1" x14ac:dyDescent="0.3">
      <c r="A56" s="617" t="s">
        <v>948</v>
      </c>
      <c r="B56" s="633"/>
      <c r="C56" s="662"/>
      <c r="D56" s="630"/>
      <c r="E56" s="483">
        <f t="shared" si="3"/>
        <v>0</v>
      </c>
      <c r="F56" s="663"/>
      <c r="G56" s="449">
        <f t="shared" si="4"/>
        <v>0</v>
      </c>
      <c r="H56" s="665"/>
    </row>
    <row r="57" spans="1:256" ht="14.65" customHeight="1" x14ac:dyDescent="0.3">
      <c r="A57" s="666" t="s">
        <v>949</v>
      </c>
      <c r="B57" s="667">
        <f>B49+B53</f>
        <v>0</v>
      </c>
      <c r="C57" s="667">
        <f>C49+C53</f>
        <v>0</v>
      </c>
      <c r="D57" s="667">
        <f>D49+D53</f>
        <v>7551195.1600000001</v>
      </c>
      <c r="E57" s="485">
        <f t="shared" si="3"/>
        <v>0</v>
      </c>
      <c r="F57" s="667">
        <f>F49+F53</f>
        <v>6298920.1299999999</v>
      </c>
      <c r="G57" s="485">
        <f t="shared" si="4"/>
        <v>0</v>
      </c>
      <c r="H57" s="668">
        <f>H49+H53</f>
        <v>0</v>
      </c>
      <c r="IR57" s="669"/>
      <c r="IS57" s="669"/>
      <c r="IT57" s="669"/>
      <c r="IU57" s="631" t="s">
        <v>950</v>
      </c>
      <c r="IV57" s="613">
        <f>IF($A$7=$IV$12,IF(D57&lt;&gt;(F57+H57),0,1),1)</f>
        <v>1</v>
      </c>
    </row>
    <row r="58" spans="1:256" ht="17.149999999999999" customHeight="1" x14ac:dyDescent="0.25">
      <c r="A58" s="1218" t="str">
        <f>IF(IV57=0,"O total das DESPESAS EMPENHADAS deve ser igual ao somatório das DESPESAS LIQUIDADAS e Inscritas em Restos a Pagar não Processados. Verifique os valores acima!!!","")</f>
        <v/>
      </c>
      <c r="B58" s="1218"/>
      <c r="C58" s="1218"/>
      <c r="D58" s="1218"/>
      <c r="E58" s="1218"/>
      <c r="F58" s="1218"/>
      <c r="G58" s="1218"/>
      <c r="H58" s="1218"/>
      <c r="IT58" s="670"/>
    </row>
    <row r="59" spans="1:256" ht="15.65" customHeight="1" x14ac:dyDescent="0.25">
      <c r="A59" s="1219" t="s">
        <v>951</v>
      </c>
      <c r="B59" s="1201" t="s">
        <v>124</v>
      </c>
      <c r="C59" s="1201" t="s">
        <v>125</v>
      </c>
      <c r="D59" s="1216" t="s">
        <v>126</v>
      </c>
      <c r="E59" s="1216"/>
      <c r="F59" s="1216" t="s">
        <v>127</v>
      </c>
      <c r="G59" s="1216"/>
      <c r="H59" s="1217" t="s">
        <v>941</v>
      </c>
    </row>
    <row r="60" spans="1:256" ht="15.65" customHeight="1" x14ac:dyDescent="0.25">
      <c r="A60" s="1219"/>
      <c r="B60" s="1201"/>
      <c r="C60" s="1201"/>
      <c r="D60" s="649" t="s">
        <v>39</v>
      </c>
      <c r="E60" s="650" t="s">
        <v>38</v>
      </c>
      <c r="F60" s="649" t="s">
        <v>39</v>
      </c>
      <c r="G60" s="650" t="s">
        <v>38</v>
      </c>
      <c r="H60" s="1217"/>
    </row>
    <row r="61" spans="1:256" ht="15.65" customHeight="1" x14ac:dyDescent="0.25">
      <c r="A61" s="1219"/>
      <c r="B61" s="1201"/>
      <c r="C61" s="1201"/>
      <c r="D61" s="653" t="s">
        <v>135</v>
      </c>
      <c r="E61" s="671" t="s">
        <v>952</v>
      </c>
      <c r="F61" s="653" t="s">
        <v>651</v>
      </c>
      <c r="G61" s="671" t="s">
        <v>953</v>
      </c>
      <c r="H61" s="1217"/>
    </row>
    <row r="62" spans="1:256" ht="14.65" customHeight="1" x14ac:dyDescent="0.3">
      <c r="A62" s="672" t="s">
        <v>954</v>
      </c>
      <c r="B62" s="673"/>
      <c r="C62" s="674"/>
      <c r="D62" s="662"/>
      <c r="E62" s="478">
        <f t="shared" ref="E62:E72" si="5">IF($D$57="",0,IF($D$57=0,0,D62/$D$57))</f>
        <v>0</v>
      </c>
      <c r="F62" s="663"/>
      <c r="G62" s="478">
        <f t="shared" ref="G62:G72" si="6">IF($F$57="",0,IF($F$57=0,0,F62/$F$57))</f>
        <v>0</v>
      </c>
      <c r="H62" s="664"/>
    </row>
    <row r="63" spans="1:256" ht="14.65" customHeight="1" x14ac:dyDescent="0.3">
      <c r="A63" s="675" t="s">
        <v>955</v>
      </c>
      <c r="B63" s="676"/>
      <c r="C63" s="677"/>
      <c r="D63" s="662"/>
      <c r="E63" s="47">
        <f t="shared" si="5"/>
        <v>0</v>
      </c>
      <c r="F63" s="678"/>
      <c r="G63" s="47">
        <f t="shared" si="6"/>
        <v>0</v>
      </c>
      <c r="H63" s="664"/>
    </row>
    <row r="64" spans="1:256" ht="14.65" customHeight="1" x14ac:dyDescent="0.3">
      <c r="A64" s="675" t="s">
        <v>956</v>
      </c>
      <c r="B64" s="679">
        <f>SUM(B65:B67)</f>
        <v>0</v>
      </c>
      <c r="C64" s="679">
        <f>SUM(C65:C67)</f>
        <v>0</v>
      </c>
      <c r="D64" s="679">
        <f>SUM(D65:D67)</f>
        <v>0</v>
      </c>
      <c r="E64" s="47">
        <f t="shared" si="5"/>
        <v>0</v>
      </c>
      <c r="F64" s="679">
        <f>SUM(F65:F67)</f>
        <v>0</v>
      </c>
      <c r="G64" s="47">
        <f t="shared" si="6"/>
        <v>0</v>
      </c>
      <c r="H64" s="680">
        <f>SUM(H65:H67)</f>
        <v>0</v>
      </c>
    </row>
    <row r="65" spans="1:256" ht="14.65" customHeight="1" x14ac:dyDescent="0.3">
      <c r="A65" s="681" t="s">
        <v>957</v>
      </c>
      <c r="B65" s="682"/>
      <c r="C65" s="682"/>
      <c r="D65" s="682"/>
      <c r="E65" s="47">
        <f t="shared" si="5"/>
        <v>0</v>
      </c>
      <c r="F65" s="678"/>
      <c r="G65" s="47">
        <f t="shared" si="6"/>
        <v>0</v>
      </c>
      <c r="H65" s="664"/>
    </row>
    <row r="66" spans="1:256" ht="14.65" customHeight="1" x14ac:dyDescent="0.3">
      <c r="A66" s="681" t="s">
        <v>958</v>
      </c>
      <c r="B66" s="629"/>
      <c r="C66" s="629"/>
      <c r="D66" s="662"/>
      <c r="E66" s="47">
        <f t="shared" si="5"/>
        <v>0</v>
      </c>
      <c r="F66" s="678"/>
      <c r="G66" s="47">
        <f t="shared" si="6"/>
        <v>0</v>
      </c>
      <c r="H66" s="664"/>
    </row>
    <row r="67" spans="1:256" ht="14.65" customHeight="1" x14ac:dyDescent="0.3">
      <c r="A67" s="683" t="s">
        <v>959</v>
      </c>
      <c r="B67" s="629"/>
      <c r="C67" s="629"/>
      <c r="D67" s="629"/>
      <c r="E67" s="47">
        <f t="shared" si="5"/>
        <v>0</v>
      </c>
      <c r="F67" s="684"/>
      <c r="G67" s="47">
        <f t="shared" si="6"/>
        <v>0</v>
      </c>
      <c r="H67" s="664"/>
    </row>
    <row r="68" spans="1:256" ht="14.65" customHeight="1" x14ac:dyDescent="0.3">
      <c r="A68" s="685" t="s">
        <v>960</v>
      </c>
      <c r="B68" s="629"/>
      <c r="C68" s="629"/>
      <c r="D68" s="629"/>
      <c r="E68" s="47">
        <f t="shared" si="5"/>
        <v>0</v>
      </c>
      <c r="F68" s="684"/>
      <c r="G68" s="47">
        <f t="shared" si="6"/>
        <v>0</v>
      </c>
      <c r="H68" s="664"/>
    </row>
    <row r="69" spans="1:256" ht="14.65" customHeight="1" x14ac:dyDescent="0.3">
      <c r="A69" s="686" t="s">
        <v>961</v>
      </c>
      <c r="B69" s="687"/>
      <c r="C69" s="687"/>
      <c r="D69" s="629"/>
      <c r="E69" s="47">
        <f t="shared" si="5"/>
        <v>0</v>
      </c>
      <c r="F69" s="688"/>
      <c r="G69" s="47">
        <f t="shared" si="6"/>
        <v>0</v>
      </c>
      <c r="H69" s="664"/>
    </row>
    <row r="70" spans="1:256" ht="14.65" customHeight="1" x14ac:dyDescent="0.3">
      <c r="A70" s="689" t="s">
        <v>962</v>
      </c>
      <c r="B70" s="629"/>
      <c r="C70" s="629"/>
      <c r="D70" s="629"/>
      <c r="E70" s="47">
        <f t="shared" si="5"/>
        <v>0</v>
      </c>
      <c r="F70" s="684"/>
      <c r="G70" s="47">
        <f t="shared" si="6"/>
        <v>0</v>
      </c>
      <c r="H70" s="664"/>
    </row>
    <row r="71" spans="1:256" ht="24" customHeight="1" x14ac:dyDescent="0.3">
      <c r="A71" s="690" t="s">
        <v>963</v>
      </c>
      <c r="B71" s="629"/>
      <c r="C71" s="629"/>
      <c r="D71" s="629"/>
      <c r="E71" s="483">
        <f t="shared" si="5"/>
        <v>0</v>
      </c>
      <c r="F71" s="684"/>
      <c r="G71" s="483">
        <f t="shared" si="6"/>
        <v>0</v>
      </c>
      <c r="H71" s="665"/>
    </row>
    <row r="72" spans="1:256" ht="14.65" customHeight="1" x14ac:dyDescent="0.3">
      <c r="A72" s="691" t="s">
        <v>964</v>
      </c>
      <c r="B72" s="668">
        <f>SUM(B62:B64,B68:B71)</f>
        <v>0</v>
      </c>
      <c r="C72" s="668">
        <f>SUM(C62:C64,C68:C71)</f>
        <v>0</v>
      </c>
      <c r="D72" s="668">
        <f>SUM(D62:D64,D68:D71)</f>
        <v>0</v>
      </c>
      <c r="E72" s="485">
        <f t="shared" si="5"/>
        <v>0</v>
      </c>
      <c r="F72" s="668">
        <f>SUM(F62:F64,F68:F71)</f>
        <v>0</v>
      </c>
      <c r="G72" s="485">
        <f t="shared" si="6"/>
        <v>0</v>
      </c>
      <c r="H72" s="668">
        <f>SUM(H62:H64,H68:H71)</f>
        <v>0</v>
      </c>
      <c r="IR72" s="669"/>
      <c r="IS72" s="669"/>
      <c r="IT72" s="669"/>
      <c r="IU72" s="631" t="s">
        <v>950</v>
      </c>
      <c r="IV72" s="613">
        <f>IF($A$7=$IV$12,IF(D72&lt;&gt;(F72+H72),0,1),1)</f>
        <v>1</v>
      </c>
    </row>
    <row r="73" spans="1:256" ht="17.149999999999999" customHeight="1" x14ac:dyDescent="0.25">
      <c r="A73" s="1218" t="str">
        <f>IF(IV72=0,"O total das DESPESAS EMPENHADAS deve ser igual ao somatório das DESPESAS LIQUIDADAS e Inscritas em Restos a Pagar não Processados. Verifique os valores acima!!!","")</f>
        <v/>
      </c>
      <c r="B73" s="1218"/>
      <c r="C73" s="1218"/>
      <c r="D73" s="1218"/>
      <c r="E73" s="1218"/>
      <c r="F73" s="1218"/>
      <c r="G73" s="1218"/>
      <c r="H73" s="1218"/>
      <c r="IT73" s="670"/>
    </row>
    <row r="74" spans="1:256" ht="14.65" customHeight="1" x14ac:dyDescent="0.25">
      <c r="A74" s="692" t="s">
        <v>965</v>
      </c>
      <c r="B74" s="693">
        <f>B57-B72</f>
        <v>0</v>
      </c>
      <c r="C74" s="693">
        <f>C57-C72</f>
        <v>0</v>
      </c>
      <c r="D74" s="693">
        <f>D57-D72</f>
        <v>7551195.1600000001</v>
      </c>
      <c r="E74" s="694"/>
      <c r="F74" s="693">
        <f>F57-F72</f>
        <v>6298920.1299999999</v>
      </c>
      <c r="G74" s="694"/>
      <c r="H74" s="693">
        <f>H57-H72</f>
        <v>0</v>
      </c>
    </row>
    <row r="75" spans="1:256" ht="15" customHeight="1" x14ac:dyDescent="0.25">
      <c r="A75" s="695"/>
      <c r="B75" s="655"/>
      <c r="C75" s="696"/>
      <c r="D75" s="636"/>
      <c r="E75" s="636"/>
      <c r="F75" s="616"/>
      <c r="G75" s="697"/>
      <c r="H75" s="698"/>
    </row>
    <row r="76" spans="1:256" ht="24.75" customHeight="1" x14ac:dyDescent="0.25">
      <c r="A76" s="1220" t="s">
        <v>966</v>
      </c>
      <c r="B76" s="1220"/>
      <c r="C76" s="1220"/>
      <c r="D76" s="1220"/>
      <c r="E76" s="1221">
        <f>IF(IV76=3,IF(D$31="",0,IF(D$31=0,0,IF(A$7=IV$12,D$74/D$31,F$74/D$31))),IF(IV76=4,"Verifique o preenchimento da planilha INFORMAÇÕES INICIAIS","HÁ ERROS ACIMA. VERIFIQUE!!!"))</f>
        <v>0.5112700103546518</v>
      </c>
      <c r="F76" s="1221"/>
      <c r="G76" s="1221"/>
      <c r="H76" s="1221"/>
      <c r="IU76" s="631" t="s">
        <v>967</v>
      </c>
      <c r="IV76" s="613">
        <f>+IV72+IV57+IT13+IV14</f>
        <v>3</v>
      </c>
    </row>
    <row r="77" spans="1:256" ht="13.5" customHeight="1" x14ac:dyDescent="0.25">
      <c r="A77" s="692"/>
      <c r="B77" s="692"/>
      <c r="C77" s="692"/>
      <c r="D77" s="692"/>
      <c r="E77" s="638"/>
      <c r="F77" s="647"/>
      <c r="G77" s="699"/>
      <c r="H77" s="700"/>
    </row>
    <row r="78" spans="1:256" ht="17.25" customHeight="1" x14ac:dyDescent="0.25">
      <c r="A78" s="1220" t="s">
        <v>968</v>
      </c>
      <c r="B78" s="1220"/>
      <c r="C78" s="1220"/>
      <c r="D78" s="1220"/>
      <c r="E78" s="1222">
        <f>IF(D$31="",0,IF(D$31=0,0,IF(A$7=IV$12,D$74-D$31*0.15,F$74-D$31*0.15)))</f>
        <v>4450898.5360000003</v>
      </c>
      <c r="F78" s="1222"/>
      <c r="G78" s="1222"/>
      <c r="H78" s="1222"/>
    </row>
    <row r="79" spans="1:256" ht="17.25" customHeight="1" x14ac:dyDescent="0.25">
      <c r="A79" s="701"/>
      <c r="B79" s="701"/>
      <c r="C79" s="701"/>
      <c r="D79" s="701"/>
      <c r="E79" s="638"/>
      <c r="F79" s="647"/>
      <c r="G79" s="697"/>
      <c r="H79" s="698"/>
    </row>
    <row r="80" spans="1:256" ht="11.25" customHeight="1" x14ac:dyDescent="0.25">
      <c r="A80" s="1201" t="s">
        <v>969</v>
      </c>
      <c r="B80" s="1201"/>
      <c r="C80" s="1223" t="s">
        <v>970</v>
      </c>
      <c r="D80" s="1201" t="s">
        <v>971</v>
      </c>
      <c r="E80" s="1201" t="s">
        <v>972</v>
      </c>
      <c r="F80" s="1201" t="s">
        <v>973</v>
      </c>
      <c r="G80" s="1223" t="s">
        <v>974</v>
      </c>
      <c r="H80" s="1223"/>
    </row>
    <row r="81" spans="1:8" ht="23.25" customHeight="1" x14ac:dyDescent="0.25">
      <c r="A81" s="1201"/>
      <c r="B81" s="1201"/>
      <c r="C81" s="1223"/>
      <c r="D81" s="1201"/>
      <c r="E81" s="1201"/>
      <c r="F81" s="1201"/>
      <c r="G81" s="1223"/>
      <c r="H81" s="1223"/>
    </row>
    <row r="82" spans="1:8" ht="15" customHeight="1" x14ac:dyDescent="0.25">
      <c r="A82" s="1224" t="s">
        <v>975</v>
      </c>
      <c r="B82" s="1224"/>
      <c r="C82" s="702"/>
      <c r="D82" s="703"/>
      <c r="E82" s="704"/>
      <c r="F82" s="705"/>
      <c r="G82" s="1225"/>
      <c r="H82" s="1225"/>
    </row>
    <row r="83" spans="1:8" ht="12" customHeight="1" x14ac:dyDescent="0.25">
      <c r="A83" s="1226" t="s">
        <v>976</v>
      </c>
      <c r="B83" s="1226"/>
      <c r="C83" s="707"/>
      <c r="D83" s="708"/>
      <c r="E83" s="633"/>
      <c r="F83" s="659"/>
      <c r="G83" s="1227"/>
      <c r="H83" s="1227"/>
    </row>
    <row r="84" spans="1:8" ht="12" customHeight="1" x14ac:dyDescent="0.25">
      <c r="A84" s="709" t="s">
        <v>977</v>
      </c>
      <c r="B84" s="706"/>
      <c r="C84" s="707"/>
      <c r="D84" s="708"/>
      <c r="E84" s="633"/>
      <c r="F84" s="659"/>
      <c r="G84" s="1227"/>
      <c r="H84" s="1227"/>
    </row>
    <row r="85" spans="1:8" ht="11.25" customHeight="1" x14ac:dyDescent="0.25">
      <c r="A85" s="710" t="s">
        <v>978</v>
      </c>
      <c r="B85" s="706"/>
      <c r="C85" s="707"/>
      <c r="D85" s="708"/>
      <c r="E85" s="630"/>
      <c r="F85" s="663"/>
      <c r="G85" s="1227"/>
      <c r="H85" s="1227"/>
    </row>
    <row r="86" spans="1:8" ht="12.75" customHeight="1" x14ac:dyDescent="0.25">
      <c r="A86" s="1228" t="s">
        <v>979</v>
      </c>
      <c r="B86" s="1228"/>
      <c r="C86" s="711">
        <f>SUM(C82:C85)</f>
        <v>0</v>
      </c>
      <c r="D86" s="711">
        <f>SUM(D82:D85)</f>
        <v>0</v>
      </c>
      <c r="E86" s="711">
        <f>SUM(E82:E85)</f>
        <v>0</v>
      </c>
      <c r="F86" s="711">
        <f>SUM(F82:F85)</f>
        <v>0</v>
      </c>
      <c r="G86" s="1229">
        <f>SUM(G82:G85)</f>
        <v>0</v>
      </c>
      <c r="H86" s="1229"/>
    </row>
    <row r="87" spans="1:8" ht="12.75" customHeight="1" x14ac:dyDescent="0.25">
      <c r="A87" s="712"/>
      <c r="B87" s="636"/>
      <c r="C87" s="713"/>
      <c r="D87" s="714"/>
      <c r="E87" s="714"/>
      <c r="F87" s="697"/>
      <c r="G87" s="697"/>
      <c r="H87" s="698"/>
    </row>
    <row r="88" spans="1:8" ht="12.75" customHeight="1" x14ac:dyDescent="0.25">
      <c r="A88" s="1230" t="s">
        <v>980</v>
      </c>
      <c r="B88" s="1230"/>
      <c r="C88" s="1231" t="s">
        <v>981</v>
      </c>
      <c r="D88" s="1231"/>
      <c r="E88" s="1231"/>
      <c r="F88" s="1231"/>
      <c r="G88" s="1231"/>
      <c r="H88" s="1231"/>
    </row>
    <row r="89" spans="1:8" ht="15.75" customHeight="1" x14ac:dyDescent="0.25">
      <c r="A89" s="1230"/>
      <c r="B89" s="1230"/>
      <c r="C89" s="1231"/>
      <c r="D89" s="1231"/>
      <c r="E89" s="1231"/>
      <c r="F89" s="1231"/>
      <c r="G89" s="1231"/>
      <c r="H89" s="1231"/>
    </row>
    <row r="90" spans="1:8" ht="14.25" customHeight="1" x14ac:dyDescent="0.25">
      <c r="A90" s="1230"/>
      <c r="B90" s="1230"/>
      <c r="C90" s="1201" t="s">
        <v>982</v>
      </c>
      <c r="D90" s="1201"/>
      <c r="E90" s="1232" t="s">
        <v>983</v>
      </c>
      <c r="F90" s="1232"/>
      <c r="G90" s="1223" t="s">
        <v>984</v>
      </c>
      <c r="H90" s="1223"/>
    </row>
    <row r="91" spans="1:8" ht="13.5" customHeight="1" x14ac:dyDescent="0.25">
      <c r="A91" s="1230"/>
      <c r="B91" s="1230"/>
      <c r="C91" s="1201"/>
      <c r="D91" s="1201"/>
      <c r="E91" s="1232"/>
      <c r="F91" s="1232"/>
      <c r="G91" s="1223"/>
      <c r="H91" s="1223"/>
    </row>
    <row r="92" spans="1:8" ht="12" customHeight="1" x14ac:dyDescent="0.25">
      <c r="A92" s="1230"/>
      <c r="B92" s="1230"/>
      <c r="C92" s="1201"/>
      <c r="D92" s="1201"/>
      <c r="E92" s="1231" t="s">
        <v>137</v>
      </c>
      <c r="F92" s="1231"/>
      <c r="G92" s="1223"/>
      <c r="H92" s="1223"/>
    </row>
    <row r="93" spans="1:8" ht="13.5" customHeight="1" x14ac:dyDescent="0.25">
      <c r="A93" s="715" t="s">
        <v>985</v>
      </c>
      <c r="B93" s="716"/>
      <c r="C93" s="1233"/>
      <c r="D93" s="1233"/>
      <c r="E93" s="1233"/>
      <c r="F93" s="1233"/>
      <c r="G93" s="1233"/>
      <c r="H93" s="1233"/>
    </row>
    <row r="94" spans="1:8" ht="13.5" customHeight="1" x14ac:dyDescent="0.25">
      <c r="A94" s="717" t="s">
        <v>976</v>
      </c>
      <c r="B94" s="718"/>
      <c r="C94" s="1234"/>
      <c r="D94" s="1234"/>
      <c r="E94" s="1234"/>
      <c r="F94" s="1234"/>
      <c r="G94" s="1234"/>
      <c r="H94" s="1234"/>
    </row>
    <row r="95" spans="1:8" ht="13.5" customHeight="1" x14ac:dyDescent="0.25">
      <c r="A95" s="717" t="s">
        <v>986</v>
      </c>
      <c r="B95" s="718"/>
      <c r="C95" s="1234"/>
      <c r="D95" s="1234"/>
      <c r="E95" s="1234"/>
      <c r="F95" s="1234"/>
      <c r="G95" s="1234"/>
      <c r="H95" s="1234"/>
    </row>
    <row r="96" spans="1:8" ht="27" customHeight="1" x14ac:dyDescent="0.25">
      <c r="A96" s="717" t="s">
        <v>987</v>
      </c>
      <c r="B96" s="718"/>
      <c r="C96" s="1234"/>
      <c r="D96" s="1234"/>
      <c r="E96" s="1234"/>
      <c r="F96" s="1234"/>
      <c r="G96" s="1234"/>
      <c r="H96" s="1234"/>
    </row>
    <row r="97" spans="1:8" ht="13.5" customHeight="1" x14ac:dyDescent="0.25">
      <c r="A97" s="719" t="s">
        <v>988</v>
      </c>
      <c r="B97" s="720"/>
      <c r="C97" s="1235">
        <f>SUM(C93:D96)</f>
        <v>0</v>
      </c>
      <c r="D97" s="1235"/>
      <c r="E97" s="1235">
        <f>SUM(E93:F96)</f>
        <v>0</v>
      </c>
      <c r="F97" s="1235"/>
      <c r="G97" s="1235">
        <f>SUM(G93:H96)</f>
        <v>0</v>
      </c>
      <c r="H97" s="1235"/>
    </row>
    <row r="98" spans="1:8" ht="12.75" customHeight="1" x14ac:dyDescent="0.25">
      <c r="A98" s="636"/>
      <c r="B98" s="636"/>
      <c r="C98" s="714"/>
      <c r="D98" s="714"/>
      <c r="E98" s="714"/>
      <c r="F98" s="697"/>
      <c r="G98" s="697"/>
      <c r="H98" s="698"/>
    </row>
    <row r="99" spans="1:8" ht="12.75" customHeight="1" x14ac:dyDescent="0.25">
      <c r="A99" s="1230" t="s">
        <v>989</v>
      </c>
      <c r="B99" s="1230"/>
      <c r="C99" s="1223" t="s">
        <v>990</v>
      </c>
      <c r="D99" s="1223"/>
      <c r="E99" s="1223"/>
      <c r="F99" s="1223"/>
      <c r="G99" s="1223"/>
      <c r="H99" s="1223"/>
    </row>
    <row r="100" spans="1:8" ht="15.75" customHeight="1" x14ac:dyDescent="0.25">
      <c r="A100" s="1230"/>
      <c r="B100" s="1230"/>
      <c r="C100" s="1223"/>
      <c r="D100" s="1223"/>
      <c r="E100" s="1223"/>
      <c r="F100" s="1223"/>
      <c r="G100" s="1223"/>
      <c r="H100" s="1223"/>
    </row>
    <row r="101" spans="1:8" ht="15" customHeight="1" x14ac:dyDescent="0.25">
      <c r="A101" s="1230"/>
      <c r="B101" s="1230"/>
      <c r="C101" s="1201" t="s">
        <v>982</v>
      </c>
      <c r="D101" s="1201"/>
      <c r="E101" s="1236" t="s">
        <v>983</v>
      </c>
      <c r="F101" s="1236"/>
      <c r="G101" s="1223" t="s">
        <v>984</v>
      </c>
      <c r="H101" s="1223"/>
    </row>
    <row r="102" spans="1:8" ht="14.65" customHeight="1" x14ac:dyDescent="0.25">
      <c r="A102" s="1230"/>
      <c r="B102" s="1230"/>
      <c r="C102" s="1201"/>
      <c r="D102" s="1201"/>
      <c r="E102" s="1236"/>
      <c r="F102" s="1236"/>
      <c r="G102" s="1223"/>
      <c r="H102" s="1223"/>
    </row>
    <row r="103" spans="1:8" ht="12.75" customHeight="1" x14ac:dyDescent="0.25">
      <c r="A103" s="1230"/>
      <c r="B103" s="1230"/>
      <c r="C103" s="1201"/>
      <c r="D103" s="1201"/>
      <c r="E103" s="1231" t="s">
        <v>138</v>
      </c>
      <c r="F103" s="1231"/>
      <c r="G103" s="1223"/>
      <c r="H103" s="1223"/>
    </row>
    <row r="104" spans="1:8" ht="14.65" customHeight="1" x14ac:dyDescent="0.25">
      <c r="A104" s="715" t="s">
        <v>991</v>
      </c>
      <c r="B104" s="721"/>
      <c r="C104" s="1233"/>
      <c r="D104" s="1233"/>
      <c r="E104" s="1237"/>
      <c r="F104" s="1237"/>
      <c r="G104" s="1237"/>
      <c r="H104" s="1237"/>
    </row>
    <row r="105" spans="1:8" ht="14.65" customHeight="1" x14ac:dyDescent="0.25">
      <c r="A105" s="717" t="s">
        <v>976</v>
      </c>
      <c r="B105" s="722"/>
      <c r="C105" s="1234"/>
      <c r="D105" s="1234"/>
      <c r="E105" s="1238"/>
      <c r="F105" s="1238"/>
      <c r="G105" s="1238"/>
      <c r="H105" s="1238"/>
    </row>
    <row r="106" spans="1:8" ht="14.65" customHeight="1" x14ac:dyDescent="0.25">
      <c r="A106" s="717" t="s">
        <v>992</v>
      </c>
      <c r="B106" s="722"/>
      <c r="C106" s="1234"/>
      <c r="D106" s="1234"/>
      <c r="E106" s="1238"/>
      <c r="F106" s="1238"/>
      <c r="G106" s="1238"/>
      <c r="H106" s="1238"/>
    </row>
    <row r="107" spans="1:8" ht="25.15" customHeight="1" x14ac:dyDescent="0.25">
      <c r="A107" s="717" t="s">
        <v>993</v>
      </c>
      <c r="B107" s="722"/>
      <c r="C107" s="1234"/>
      <c r="D107" s="1234"/>
      <c r="E107" s="1238"/>
      <c r="F107" s="1238"/>
      <c r="G107" s="1238"/>
      <c r="H107" s="1238"/>
    </row>
    <row r="108" spans="1:8" ht="12.75" customHeight="1" x14ac:dyDescent="0.25">
      <c r="A108" s="1241" t="s">
        <v>994</v>
      </c>
      <c r="B108" s="1241"/>
      <c r="C108" s="1235">
        <f>SUM(C104:D107)</f>
        <v>0</v>
      </c>
      <c r="D108" s="1235"/>
      <c r="E108" s="1235">
        <f>SUM(E104:F107)</f>
        <v>0</v>
      </c>
      <c r="F108" s="1235"/>
      <c r="G108" s="1235">
        <f>SUM(G104:H107)</f>
        <v>0</v>
      </c>
      <c r="H108" s="1235"/>
    </row>
    <row r="109" spans="1:8" ht="14.65" customHeight="1" x14ac:dyDescent="0.25">
      <c r="A109" s="636"/>
      <c r="B109" s="723"/>
      <c r="C109" s="714"/>
      <c r="D109" s="636"/>
      <c r="E109" s="636"/>
      <c r="F109" s="616"/>
      <c r="G109" s="616"/>
    </row>
    <row r="110" spans="1:8" ht="12.75" customHeight="1" x14ac:dyDescent="0.25">
      <c r="A110" s="724" t="s">
        <v>940</v>
      </c>
      <c r="B110" s="1201" t="s">
        <v>124</v>
      </c>
      <c r="C110" s="1201" t="s">
        <v>125</v>
      </c>
      <c r="D110" s="1202" t="s">
        <v>126</v>
      </c>
      <c r="E110" s="1202"/>
      <c r="F110" s="1202" t="s">
        <v>127</v>
      </c>
      <c r="G110" s="1202"/>
      <c r="H110" s="1217" t="s">
        <v>941</v>
      </c>
    </row>
    <row r="111" spans="1:8" ht="14.65" customHeight="1" x14ac:dyDescent="0.25">
      <c r="A111" s="725" t="s">
        <v>995</v>
      </c>
      <c r="B111" s="1201"/>
      <c r="C111" s="1201"/>
      <c r="D111" s="622" t="s">
        <v>39</v>
      </c>
      <c r="E111" s="726" t="s">
        <v>38</v>
      </c>
      <c r="F111" s="622" t="s">
        <v>39</v>
      </c>
      <c r="G111" s="726" t="s">
        <v>38</v>
      </c>
      <c r="H111" s="1217"/>
    </row>
    <row r="112" spans="1:8" ht="21.75" customHeight="1" x14ac:dyDescent="0.25">
      <c r="A112" s="651"/>
      <c r="B112" s="1201"/>
      <c r="C112" s="1201"/>
      <c r="D112" s="653" t="s">
        <v>996</v>
      </c>
      <c r="E112" s="727" t="s">
        <v>997</v>
      </c>
      <c r="F112" s="653" t="s">
        <v>998</v>
      </c>
      <c r="G112" s="727" t="s">
        <v>999</v>
      </c>
      <c r="H112" s="1217"/>
    </row>
    <row r="113" spans="1:8" ht="14.65" customHeight="1" x14ac:dyDescent="0.3">
      <c r="A113" s="636" t="s">
        <v>256</v>
      </c>
      <c r="B113" s="865" t="s">
        <v>256</v>
      </c>
      <c r="C113" s="864">
        <v>5476491.4500000002</v>
      </c>
      <c r="D113" s="864">
        <v>5476491.4500000002</v>
      </c>
      <c r="E113" s="47">
        <f t="shared" ref="E113:E119" si="7">IF($D$120="",0,IF($D$120=0,0,D113/$D$120))</f>
        <v>0.46634825325010199</v>
      </c>
      <c r="F113" s="630">
        <v>2746442.09</v>
      </c>
      <c r="G113" s="47">
        <f t="shared" ref="G113:G119" si="8">IF($F$120="",0,IF($F$120=0,0,F113/$F$120))</f>
        <v>0.43601792582183441</v>
      </c>
      <c r="H113" s="728"/>
    </row>
    <row r="114" spans="1:8" ht="14.65" customHeight="1" x14ac:dyDescent="0.3">
      <c r="A114" s="636" t="s">
        <v>257</v>
      </c>
      <c r="B114" s="865" t="s">
        <v>257</v>
      </c>
      <c r="C114" s="864">
        <v>3624673.13</v>
      </c>
      <c r="D114" s="864">
        <v>3624673.13</v>
      </c>
      <c r="E114" s="47">
        <f t="shared" si="7"/>
        <v>0.30865746768911323</v>
      </c>
      <c r="F114" s="868">
        <v>2617555.9700000002</v>
      </c>
      <c r="G114" s="47">
        <f t="shared" si="8"/>
        <v>0.41555630425178924</v>
      </c>
      <c r="H114" s="664"/>
    </row>
    <row r="115" spans="1:8" ht="14.65" customHeight="1" x14ac:dyDescent="0.3">
      <c r="A115" s="636" t="s">
        <v>258</v>
      </c>
      <c r="B115" s="865" t="s">
        <v>258</v>
      </c>
      <c r="C115" s="864"/>
      <c r="D115" s="864"/>
      <c r="E115" s="47">
        <f t="shared" si="7"/>
        <v>0</v>
      </c>
      <c r="F115" s="868"/>
      <c r="G115" s="47">
        <f t="shared" si="8"/>
        <v>0</v>
      </c>
      <c r="H115" s="664"/>
    </row>
    <row r="116" spans="1:8" ht="14.65" customHeight="1" x14ac:dyDescent="0.3">
      <c r="A116" s="636" t="s">
        <v>259</v>
      </c>
      <c r="B116" s="865" t="s">
        <v>259</v>
      </c>
      <c r="C116" s="864">
        <v>442565.31</v>
      </c>
      <c r="D116" s="864">
        <v>442565.31</v>
      </c>
      <c r="E116" s="47">
        <f t="shared" si="7"/>
        <v>3.7686456950022242E-2</v>
      </c>
      <c r="F116" s="868">
        <v>103968.5</v>
      </c>
      <c r="G116" s="47">
        <f t="shared" si="8"/>
        <v>1.6505765727180287E-2</v>
      </c>
      <c r="H116" s="664"/>
    </row>
    <row r="117" spans="1:8" ht="14.65" customHeight="1" x14ac:dyDescent="0.3">
      <c r="A117" s="636" t="s">
        <v>260</v>
      </c>
      <c r="B117" s="865" t="s">
        <v>260</v>
      </c>
      <c r="C117" s="864">
        <v>310622.2</v>
      </c>
      <c r="D117" s="864">
        <v>310622.2</v>
      </c>
      <c r="E117" s="47">
        <f t="shared" si="7"/>
        <v>2.6450898666280913E-2</v>
      </c>
      <c r="F117" s="868">
        <v>104072.99</v>
      </c>
      <c r="G117" s="47">
        <f t="shared" si="8"/>
        <v>1.6522354284876445E-2</v>
      </c>
      <c r="H117" s="664"/>
    </row>
    <row r="118" spans="1:8" ht="14.65" customHeight="1" x14ac:dyDescent="0.3">
      <c r="A118" s="636" t="s">
        <v>261</v>
      </c>
      <c r="B118" s="865" t="s">
        <v>261</v>
      </c>
      <c r="C118" s="864"/>
      <c r="D118" s="864"/>
      <c r="E118" s="47">
        <f t="shared" si="7"/>
        <v>0</v>
      </c>
      <c r="F118" s="868"/>
      <c r="G118" s="47">
        <f t="shared" si="8"/>
        <v>0</v>
      </c>
      <c r="H118" s="664"/>
    </row>
    <row r="119" spans="1:8" ht="14.65" customHeight="1" x14ac:dyDescent="0.3">
      <c r="A119" s="714" t="s">
        <v>1000</v>
      </c>
      <c r="B119" s="866" t="s">
        <v>1000</v>
      </c>
      <c r="C119" s="867">
        <v>1888999.39</v>
      </c>
      <c r="D119" s="867">
        <v>1888999.39</v>
      </c>
      <c r="E119" s="47">
        <f t="shared" si="7"/>
        <v>0.1608569234444816</v>
      </c>
      <c r="F119" s="868">
        <v>726880.58</v>
      </c>
      <c r="G119" s="47">
        <f t="shared" si="8"/>
        <v>0.1153976499143195</v>
      </c>
      <c r="H119" s="665"/>
    </row>
    <row r="120" spans="1:8" ht="14.65" customHeight="1" x14ac:dyDescent="0.25">
      <c r="A120" s="645" t="s">
        <v>1001</v>
      </c>
      <c r="B120" s="646">
        <f>SUM(B113:B119)</f>
        <v>0</v>
      </c>
      <c r="C120" s="646">
        <f>SUM(C113:C119)</f>
        <v>11743351.48</v>
      </c>
      <c r="D120" s="646">
        <f>SUM(D113:D119)</f>
        <v>11743351.48</v>
      </c>
      <c r="E120" s="729"/>
      <c r="F120" s="646">
        <f>SUM(F113:F119)</f>
        <v>6298920.1300000008</v>
      </c>
      <c r="G120" s="729"/>
      <c r="H120" s="730">
        <f>SUM(H113:H119)</f>
        <v>0</v>
      </c>
    </row>
    <row r="121" spans="1:8" ht="14.65" customHeight="1" x14ac:dyDescent="0.25">
      <c r="A121" s="1239" t="s">
        <v>659</v>
      </c>
      <c r="B121" s="1239"/>
      <c r="C121" s="1239"/>
      <c r="D121" s="1239"/>
      <c r="E121" s="1239"/>
      <c r="F121" s="1239"/>
      <c r="G121" s="1239"/>
      <c r="H121" s="1239"/>
    </row>
    <row r="122" spans="1:8" ht="14.65" customHeight="1" x14ac:dyDescent="0.25">
      <c r="A122" s="636" t="s">
        <v>1002</v>
      </c>
      <c r="B122" s="636"/>
      <c r="C122" s="636"/>
      <c r="D122" s="636"/>
      <c r="E122" s="636"/>
      <c r="F122" s="647"/>
      <c r="G122" s="647"/>
    </row>
    <row r="123" spans="1:8" ht="14.65" customHeight="1" x14ac:dyDescent="0.25">
      <c r="A123" s="731" t="s">
        <v>1003</v>
      </c>
      <c r="B123" s="636"/>
      <c r="C123" s="636"/>
      <c r="D123" s="636"/>
      <c r="E123" s="636"/>
      <c r="F123" s="647"/>
      <c r="G123" s="647"/>
    </row>
    <row r="124" spans="1:8" ht="14.65" customHeight="1" x14ac:dyDescent="0.25">
      <c r="A124" s="731" t="s">
        <v>1004</v>
      </c>
      <c r="B124" s="636"/>
      <c r="C124" s="636"/>
      <c r="D124" s="636"/>
      <c r="E124" s="636"/>
      <c r="F124" s="647"/>
      <c r="G124" s="647"/>
    </row>
    <row r="125" spans="1:8" ht="14.65" customHeight="1" x14ac:dyDescent="0.25">
      <c r="A125" s="732" t="s">
        <v>1005</v>
      </c>
      <c r="B125" s="617"/>
      <c r="C125" s="617"/>
      <c r="D125" s="636"/>
      <c r="E125" s="636"/>
      <c r="F125" s="647"/>
      <c r="G125" s="647"/>
    </row>
    <row r="126" spans="1:8" ht="14.65" customHeight="1" x14ac:dyDescent="0.25">
      <c r="A126" s="732" t="s">
        <v>1006</v>
      </c>
      <c r="B126" s="616"/>
      <c r="C126" s="616"/>
      <c r="D126" s="616"/>
      <c r="E126" s="616"/>
      <c r="F126" s="616"/>
      <c r="G126" s="616"/>
    </row>
    <row r="127" spans="1:8" ht="14.65" customHeight="1" x14ac:dyDescent="0.25">
      <c r="A127" s="731" t="s">
        <v>1007</v>
      </c>
      <c r="B127" s="616"/>
      <c r="C127" s="616"/>
      <c r="D127" s="616"/>
      <c r="E127" s="616"/>
      <c r="F127" s="616"/>
      <c r="G127" s="616"/>
    </row>
    <row r="128" spans="1:8" ht="12.75" customHeight="1" x14ac:dyDescent="0.25">
      <c r="A128" s="1240" t="s">
        <v>1008</v>
      </c>
      <c r="B128" s="1240"/>
      <c r="C128" s="1240"/>
    </row>
  </sheetData>
  <sheetProtection password="F3F6" sheet="1"/>
  <mergeCells count="162"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40" zoomScaleNormal="140" workbookViewId="0">
      <selection activeCell="D37" sqref="D37"/>
    </sheetView>
  </sheetViews>
  <sheetFormatPr defaultColWidth="8.81640625" defaultRowHeight="14.65" customHeight="1" x14ac:dyDescent="0.25"/>
  <cols>
    <col min="1" max="1" width="75.453125" style="733" customWidth="1"/>
    <col min="2" max="2" width="14.453125" style="733" customWidth="1"/>
    <col min="3" max="3" width="8" style="733" customWidth="1"/>
    <col min="4" max="4" width="14.54296875" style="733" customWidth="1"/>
    <col min="5" max="5" width="12.453125" style="733" customWidth="1"/>
    <col min="6" max="6" width="14.54296875" style="733" customWidth="1"/>
    <col min="7" max="7" width="12.453125" style="733" customWidth="1"/>
    <col min="8" max="8" width="14.54296875" style="733" customWidth="1"/>
    <col min="9" max="16384" width="8.81640625" style="733"/>
  </cols>
  <sheetData>
    <row r="1" spans="1:8" ht="17.149999999999999" customHeight="1" x14ac:dyDescent="0.3">
      <c r="A1" s="734" t="s">
        <v>1009</v>
      </c>
      <c r="B1" s="735"/>
      <c r="C1" s="735"/>
      <c r="D1" s="735"/>
      <c r="E1" s="735"/>
      <c r="F1" s="736"/>
      <c r="G1" s="736"/>
    </row>
    <row r="2" spans="1:8" ht="14.65" customHeight="1" x14ac:dyDescent="0.25">
      <c r="A2" s="737"/>
      <c r="B2" s="737"/>
      <c r="C2" s="737"/>
      <c r="D2" s="737"/>
      <c r="E2" s="737"/>
      <c r="F2" s="736"/>
      <c r="G2" s="736"/>
    </row>
    <row r="3" spans="1:8" ht="14.65" customHeight="1" x14ac:dyDescent="0.25">
      <c r="A3" s="1242" t="str">
        <f>+'Informações Iniciais'!A1:B1</f>
        <v>ESTADO DO MARANHÃO - PREFEITURA MUNICIPAL DE DAVINOPOLIS</v>
      </c>
      <c r="B3" s="1242"/>
      <c r="C3" s="1242"/>
      <c r="D3" s="1242"/>
      <c r="E3" s="1242"/>
      <c r="F3" s="1242"/>
      <c r="G3" s="1242"/>
    </row>
    <row r="4" spans="1:8" ht="14.65" customHeight="1" x14ac:dyDescent="0.25">
      <c r="A4" s="1242" t="s">
        <v>1</v>
      </c>
      <c r="B4" s="1242"/>
      <c r="C4" s="1242"/>
      <c r="D4" s="1242"/>
      <c r="E4" s="1242"/>
      <c r="F4" s="1242"/>
      <c r="G4" s="1242"/>
    </row>
    <row r="5" spans="1:8" ht="14.65" customHeight="1" x14ac:dyDescent="0.25">
      <c r="A5" s="1243" t="s">
        <v>906</v>
      </c>
      <c r="B5" s="1243"/>
      <c r="C5" s="1243"/>
      <c r="D5" s="1243"/>
      <c r="E5" s="1243"/>
      <c r="F5" s="1243"/>
      <c r="G5" s="1243"/>
    </row>
    <row r="6" spans="1:8" ht="14.65" customHeight="1" x14ac:dyDescent="0.25">
      <c r="A6" s="1242" t="s">
        <v>29</v>
      </c>
      <c r="B6" s="1242"/>
      <c r="C6" s="1242"/>
      <c r="D6" s="1242"/>
      <c r="E6" s="1242"/>
      <c r="F6" s="1242"/>
      <c r="G6" s="1242"/>
    </row>
    <row r="7" spans="1:8" ht="14.65" customHeight="1" x14ac:dyDescent="0.25">
      <c r="A7" s="1242" t="str">
        <f>+'Informações Iniciais'!A5:B5</f>
        <v>5º Bimestre de 2018</v>
      </c>
      <c r="B7" s="1242"/>
      <c r="C7" s="1242"/>
      <c r="D7" s="1242"/>
      <c r="E7" s="1242"/>
      <c r="F7" s="1242"/>
      <c r="G7" s="1242"/>
    </row>
    <row r="8" spans="1:8" ht="14.65" customHeight="1" x14ac:dyDescent="0.25">
      <c r="A8" s="737"/>
      <c r="B8" s="737"/>
      <c r="C8" s="737"/>
      <c r="D8" s="737"/>
      <c r="E8" s="737"/>
      <c r="F8" s="736"/>
      <c r="G8" s="736"/>
    </row>
    <row r="9" spans="1:8" ht="14.65" customHeight="1" x14ac:dyDescent="0.25">
      <c r="A9" s="738" t="s">
        <v>1010</v>
      </c>
      <c r="B9" s="735"/>
      <c r="C9" s="735"/>
      <c r="D9" s="735"/>
      <c r="E9" s="736"/>
      <c r="F9" s="736"/>
      <c r="G9" s="739"/>
      <c r="H9" s="740" t="s">
        <v>31</v>
      </c>
    </row>
    <row r="10" spans="1:8" ht="12.75" customHeight="1" x14ac:dyDescent="0.25">
      <c r="A10" s="741" t="s">
        <v>1011</v>
      </c>
      <c r="B10" s="1244" t="s">
        <v>1012</v>
      </c>
      <c r="C10" s="1244"/>
      <c r="D10" s="1245" t="s">
        <v>126</v>
      </c>
      <c r="E10" s="1245"/>
      <c r="F10" s="1245" t="s">
        <v>127</v>
      </c>
      <c r="G10" s="1245"/>
      <c r="H10" s="1217" t="s">
        <v>1013</v>
      </c>
    </row>
    <row r="11" spans="1:8" ht="21.75" customHeight="1" x14ac:dyDescent="0.25">
      <c r="A11" s="742" t="s">
        <v>819</v>
      </c>
      <c r="B11" s="1244"/>
      <c r="C11" s="1244"/>
      <c r="D11" s="743" t="s">
        <v>39</v>
      </c>
      <c r="E11" s="744" t="s">
        <v>38</v>
      </c>
      <c r="F11" s="743" t="s">
        <v>39</v>
      </c>
      <c r="G11" s="744" t="s">
        <v>38</v>
      </c>
      <c r="H11" s="1217"/>
    </row>
    <row r="12" spans="1:8" ht="14.65" customHeight="1" x14ac:dyDescent="0.25">
      <c r="A12" s="745" t="s">
        <v>942</v>
      </c>
      <c r="B12" s="1244"/>
      <c r="C12" s="1244"/>
      <c r="D12" s="746" t="s">
        <v>41</v>
      </c>
      <c r="E12" s="747" t="s">
        <v>909</v>
      </c>
      <c r="F12" s="746" t="s">
        <v>43</v>
      </c>
      <c r="G12" s="747" t="s">
        <v>1014</v>
      </c>
      <c r="H12" s="1217"/>
    </row>
    <row r="13" spans="1:8" ht="14.65" customHeight="1" x14ac:dyDescent="0.25">
      <c r="A13" s="748" t="s">
        <v>945</v>
      </c>
      <c r="B13" s="1207">
        <f>SUM(B14:C16)</f>
        <v>0</v>
      </c>
      <c r="C13" s="1207"/>
      <c r="D13" s="632">
        <f>SUM(D14:D16)</f>
        <v>0</v>
      </c>
      <c r="E13" s="632">
        <f t="shared" ref="E13:E21" si="0">IF($B13="",0,IF($B13=0,0,D13/$B13))</f>
        <v>0</v>
      </c>
      <c r="F13" s="632">
        <f>SUM(F14:F16)</f>
        <v>0</v>
      </c>
      <c r="G13" s="632">
        <f t="shared" ref="G13:G21" si="1">IF($B13="",0,IF($B13=0,0,F13/$B13))</f>
        <v>0</v>
      </c>
      <c r="H13" s="749">
        <f>SUM(H14:H16)</f>
        <v>0</v>
      </c>
    </row>
    <row r="14" spans="1:8" ht="14.65" customHeight="1" x14ac:dyDescent="0.25">
      <c r="A14" s="750" t="s">
        <v>575</v>
      </c>
      <c r="B14" s="1209"/>
      <c r="C14" s="1209"/>
      <c r="D14" s="630"/>
      <c r="E14" s="632">
        <f t="shared" si="0"/>
        <v>0</v>
      </c>
      <c r="F14" s="630"/>
      <c r="G14" s="632">
        <f t="shared" si="1"/>
        <v>0</v>
      </c>
      <c r="H14" s="662"/>
    </row>
    <row r="15" spans="1:8" ht="14.65" customHeight="1" x14ac:dyDescent="0.25">
      <c r="A15" s="750" t="s">
        <v>946</v>
      </c>
      <c r="B15" s="1209"/>
      <c r="C15" s="1209"/>
      <c r="D15" s="630"/>
      <c r="E15" s="632">
        <f t="shared" si="0"/>
        <v>0</v>
      </c>
      <c r="F15" s="630"/>
      <c r="G15" s="632">
        <f t="shared" si="1"/>
        <v>0</v>
      </c>
      <c r="H15" s="662"/>
    </row>
    <row r="16" spans="1:8" ht="14.65" customHeight="1" x14ac:dyDescent="0.25">
      <c r="A16" s="750" t="s">
        <v>577</v>
      </c>
      <c r="B16" s="1209"/>
      <c r="C16" s="1209"/>
      <c r="D16" s="630"/>
      <c r="E16" s="632">
        <f t="shared" si="0"/>
        <v>0</v>
      </c>
      <c r="F16" s="630"/>
      <c r="G16" s="632">
        <f t="shared" si="1"/>
        <v>0</v>
      </c>
      <c r="H16" s="662"/>
    </row>
    <row r="17" spans="1:10" ht="14.65" customHeight="1" x14ac:dyDescent="0.25">
      <c r="A17" s="750" t="s">
        <v>852</v>
      </c>
      <c r="B17" s="1210">
        <f>SUM(B18:C20)</f>
        <v>0</v>
      </c>
      <c r="C17" s="1210"/>
      <c r="D17" s="632">
        <f>SUM(D18:D20)</f>
        <v>0</v>
      </c>
      <c r="E17" s="632">
        <f t="shared" si="0"/>
        <v>0</v>
      </c>
      <c r="F17" s="632">
        <f>SUM(F18:F20)</f>
        <v>0</v>
      </c>
      <c r="G17" s="632">
        <f t="shared" si="1"/>
        <v>0</v>
      </c>
      <c r="H17" s="751">
        <f>SUM(H18:H20)</f>
        <v>0</v>
      </c>
    </row>
    <row r="18" spans="1:10" ht="14.65" customHeight="1" x14ac:dyDescent="0.25">
      <c r="A18" s="737" t="s">
        <v>947</v>
      </c>
      <c r="B18" s="1209"/>
      <c r="C18" s="1209"/>
      <c r="D18" s="630"/>
      <c r="E18" s="632">
        <f t="shared" si="0"/>
        <v>0</v>
      </c>
      <c r="F18" s="630"/>
      <c r="G18" s="632">
        <f t="shared" si="1"/>
        <v>0</v>
      </c>
      <c r="H18" s="523"/>
    </row>
    <row r="19" spans="1:10" ht="14.65" customHeight="1" x14ac:dyDescent="0.25">
      <c r="A19" s="737" t="s">
        <v>581</v>
      </c>
      <c r="B19" s="1209"/>
      <c r="C19" s="1209"/>
      <c r="D19" s="630"/>
      <c r="E19" s="632">
        <f t="shared" si="0"/>
        <v>0</v>
      </c>
      <c r="F19" s="630"/>
      <c r="G19" s="632">
        <f t="shared" si="1"/>
        <v>0</v>
      </c>
      <c r="H19" s="523"/>
    </row>
    <row r="20" spans="1:10" ht="14.65" customHeight="1" x14ac:dyDescent="0.25">
      <c r="A20" s="737" t="s">
        <v>948</v>
      </c>
      <c r="B20" s="1251"/>
      <c r="C20" s="1251"/>
      <c r="D20" s="630"/>
      <c r="E20" s="632">
        <f t="shared" si="0"/>
        <v>0</v>
      </c>
      <c r="F20" s="630"/>
      <c r="G20" s="632">
        <f t="shared" si="1"/>
        <v>0</v>
      </c>
      <c r="H20" s="525"/>
    </row>
    <row r="21" spans="1:10" ht="14.65" customHeight="1" x14ac:dyDescent="0.25">
      <c r="A21" s="752" t="s">
        <v>1015</v>
      </c>
      <c r="B21" s="1252">
        <f>B13+B17</f>
        <v>0</v>
      </c>
      <c r="C21" s="1252"/>
      <c r="D21" s="753">
        <f>D13+D17</f>
        <v>0</v>
      </c>
      <c r="E21" s="754">
        <f t="shared" si="0"/>
        <v>0</v>
      </c>
      <c r="F21" s="753">
        <f>F13+F17</f>
        <v>0</v>
      </c>
      <c r="G21" s="754">
        <f t="shared" si="1"/>
        <v>0</v>
      </c>
      <c r="H21" s="755">
        <f>H13+H17</f>
        <v>0</v>
      </c>
      <c r="I21" s="733">
        <f>IF(A7=J21,IF(D21-(F21+H21)&lt;&gt;0,1,0),0)</f>
        <v>0</v>
      </c>
      <c r="J21" s="733" t="s">
        <v>1016</v>
      </c>
    </row>
    <row r="22" spans="1:10" ht="15.75" customHeight="1" x14ac:dyDescent="0.3">
      <c r="A22" s="1250" t="str">
        <f>IF(I21=1,"O total das DESPESAS EMPENHADAS deve coreesponder ao somatório das DESPESAS LIQUIDADAS + Inscritas em Restos a Pagar não Processados","")</f>
        <v/>
      </c>
      <c r="B22" s="1250"/>
      <c r="C22" s="1250"/>
      <c r="D22" s="1250"/>
      <c r="E22" s="1250"/>
      <c r="F22" s="1250"/>
      <c r="G22" s="1250"/>
      <c r="H22" s="1250"/>
    </row>
    <row r="23" spans="1:10" ht="12.75" customHeight="1" x14ac:dyDescent="0.25">
      <c r="A23" s="1246" t="s">
        <v>951</v>
      </c>
      <c r="B23" s="1246"/>
      <c r="C23" s="1246"/>
      <c r="D23" s="1245" t="s">
        <v>126</v>
      </c>
      <c r="E23" s="1245"/>
      <c r="F23" s="1245" t="s">
        <v>127</v>
      </c>
      <c r="G23" s="1245"/>
      <c r="H23" s="1247" t="s">
        <v>1013</v>
      </c>
    </row>
    <row r="24" spans="1:10" ht="21.75" customHeight="1" x14ac:dyDescent="0.25">
      <c r="A24" s="1246"/>
      <c r="B24" s="1246"/>
      <c r="C24" s="1246"/>
      <c r="D24" s="756" t="s">
        <v>39</v>
      </c>
      <c r="E24" s="757" t="s">
        <v>38</v>
      </c>
      <c r="F24" s="756" t="s">
        <v>39</v>
      </c>
      <c r="G24" s="757" t="s">
        <v>38</v>
      </c>
      <c r="H24" s="1247"/>
    </row>
    <row r="25" spans="1:10" ht="14.65" customHeight="1" x14ac:dyDescent="0.25">
      <c r="A25" s="1246"/>
      <c r="B25" s="1246"/>
      <c r="C25" s="1246"/>
      <c r="D25" s="746" t="s">
        <v>131</v>
      </c>
      <c r="E25" s="747" t="s">
        <v>1017</v>
      </c>
      <c r="F25" s="746" t="s">
        <v>133</v>
      </c>
      <c r="G25" s="747" t="s">
        <v>1018</v>
      </c>
      <c r="H25" s="1247"/>
    </row>
    <row r="26" spans="1:10" ht="14.65" customHeight="1" x14ac:dyDescent="0.25">
      <c r="A26" s="758" t="s">
        <v>955</v>
      </c>
      <c r="B26" s="759"/>
      <c r="C26" s="760"/>
      <c r="D26" s="630"/>
      <c r="E26" s="663"/>
      <c r="F26" s="678"/>
      <c r="G26" s="662"/>
      <c r="H26" s="761"/>
    </row>
    <row r="27" spans="1:10" ht="14.65" customHeight="1" x14ac:dyDescent="0.25">
      <c r="A27" s="758" t="s">
        <v>956</v>
      </c>
      <c r="B27" s="758"/>
      <c r="C27" s="760"/>
      <c r="D27" s="632">
        <f>SUM(D28:D30)</f>
        <v>0</v>
      </c>
      <c r="E27" s="632">
        <f>SUM(E28:E30)</f>
        <v>0</v>
      </c>
      <c r="F27" s="632">
        <f>SUM(F28:F30)</f>
        <v>0</v>
      </c>
      <c r="G27" s="632">
        <f>SUM(G28:G30)</f>
        <v>0</v>
      </c>
      <c r="H27" s="751">
        <f>SUM(H28:H30)</f>
        <v>0</v>
      </c>
    </row>
    <row r="28" spans="1:10" ht="14.65" customHeight="1" x14ac:dyDescent="0.25">
      <c r="A28" s="738" t="s">
        <v>957</v>
      </c>
      <c r="B28" s="750"/>
      <c r="C28" s="750"/>
      <c r="D28" s="630"/>
      <c r="E28" s="630"/>
      <c r="F28" s="630"/>
      <c r="G28" s="630"/>
      <c r="H28" s="662"/>
    </row>
    <row r="29" spans="1:10" ht="14.65" customHeight="1" x14ac:dyDescent="0.25">
      <c r="A29" s="738" t="s">
        <v>958</v>
      </c>
      <c r="B29" s="750"/>
      <c r="C29" s="750"/>
      <c r="D29" s="630"/>
      <c r="E29" s="630"/>
      <c r="F29" s="630"/>
      <c r="G29" s="630"/>
      <c r="H29" s="662"/>
    </row>
    <row r="30" spans="1:10" ht="14.65" customHeight="1" x14ac:dyDescent="0.25">
      <c r="A30" s="762" t="s">
        <v>959</v>
      </c>
      <c r="B30" s="750"/>
      <c r="C30" s="750"/>
      <c r="D30" s="629"/>
      <c r="E30" s="629"/>
      <c r="F30" s="629"/>
      <c r="G30" s="629"/>
      <c r="H30" s="629"/>
    </row>
    <row r="31" spans="1:10" ht="14.65" customHeight="1" x14ac:dyDescent="0.25">
      <c r="A31" s="758" t="s">
        <v>960</v>
      </c>
      <c r="B31" s="750"/>
      <c r="C31" s="750"/>
      <c r="D31" s="629"/>
      <c r="E31" s="629"/>
      <c r="F31" s="629"/>
      <c r="G31" s="629"/>
      <c r="H31" s="629"/>
    </row>
    <row r="32" spans="1:10" ht="13.9" customHeight="1" x14ac:dyDescent="0.25">
      <c r="A32" s="1248" t="s">
        <v>1019</v>
      </c>
      <c r="B32" s="1248"/>
      <c r="C32" s="1248"/>
      <c r="D32" s="629"/>
      <c r="E32" s="629"/>
      <c r="F32" s="629"/>
      <c r="G32" s="629"/>
      <c r="H32" s="629"/>
    </row>
    <row r="33" spans="1:9" ht="12.75" customHeight="1" x14ac:dyDescent="0.25">
      <c r="A33" s="1248" t="s">
        <v>1020</v>
      </c>
      <c r="B33" s="1248"/>
      <c r="C33" s="1248"/>
      <c r="D33" s="629"/>
      <c r="E33" s="629"/>
      <c r="F33" s="629"/>
      <c r="G33" s="629"/>
      <c r="H33" s="629"/>
    </row>
    <row r="34" spans="1:9" ht="24" customHeight="1" x14ac:dyDescent="0.25">
      <c r="A34" s="1249" t="s">
        <v>1021</v>
      </c>
      <c r="B34" s="1249"/>
      <c r="C34" s="1249"/>
      <c r="D34" s="629"/>
      <c r="E34" s="629"/>
      <c r="F34" s="629"/>
      <c r="G34" s="629"/>
      <c r="H34" s="629"/>
    </row>
    <row r="35" spans="1:9" ht="16.5" customHeight="1" x14ac:dyDescent="0.25">
      <c r="A35" s="763" t="s">
        <v>1022</v>
      </c>
      <c r="B35" s="764"/>
      <c r="C35" s="765"/>
      <c r="D35" s="668">
        <f>D26+D27+D31+D32+D33+D34</f>
        <v>0</v>
      </c>
      <c r="E35" s="668">
        <f>E26+E27+E31+E32+E33+E34</f>
        <v>0</v>
      </c>
      <c r="F35" s="668">
        <f>F26+F27+F31+F32+F33+F34</f>
        <v>0</v>
      </c>
      <c r="G35" s="668">
        <f>G26+G27+G31+G32+G33+G34</f>
        <v>0</v>
      </c>
      <c r="H35" s="668">
        <f>H26+H27+H31+H32+H33+H34</f>
        <v>0</v>
      </c>
      <c r="I35" s="733">
        <f>IF(A7=J21,IF(D35-(F35+H35)&lt;&gt;0,1,0),0)</f>
        <v>0</v>
      </c>
    </row>
    <row r="36" spans="1:9" ht="17.149999999999999" customHeight="1" x14ac:dyDescent="0.3">
      <c r="A36" s="1250" t="str">
        <f>IF(I35=1,"O total das DESPESAS EMPENHADAS deve coreesponder ao somatório das DESPESAS LIQUIDADAS + Inscritas em Restos a Pagar não Processados","")</f>
        <v/>
      </c>
      <c r="B36" s="1250"/>
      <c r="C36" s="1250"/>
      <c r="D36" s="1250"/>
      <c r="E36" s="1250"/>
      <c r="F36" s="1250"/>
      <c r="G36" s="1250"/>
      <c r="H36" s="1250"/>
    </row>
    <row r="37" spans="1:9" ht="22.5" customHeight="1" x14ac:dyDescent="0.25">
      <c r="A37" s="766" t="s">
        <v>1023</v>
      </c>
      <c r="B37" s="767"/>
      <c r="C37" s="767"/>
      <c r="D37" s="768">
        <f>D21-D35</f>
        <v>0</v>
      </c>
      <c r="E37" s="768">
        <f>E21-E35</f>
        <v>0</v>
      </c>
      <c r="F37" s="768">
        <f>F21-F35</f>
        <v>0</v>
      </c>
      <c r="G37" s="769">
        <f>G21-G35</f>
        <v>0</v>
      </c>
      <c r="H37" s="769">
        <f>H21-H35</f>
        <v>0</v>
      </c>
    </row>
    <row r="38" spans="1:9" ht="15" customHeight="1" x14ac:dyDescent="0.25">
      <c r="A38" s="1140" t="s">
        <v>841</v>
      </c>
      <c r="B38" s="1140"/>
      <c r="C38" s="1140"/>
      <c r="D38" s="750"/>
      <c r="E38" s="750"/>
      <c r="F38" s="736"/>
      <c r="G38" s="736"/>
    </row>
  </sheetData>
  <sheetProtection password="F3F6" sheet="1"/>
  <mergeCells count="28"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:G3"/>
    <mergeCell ref="A4:G4"/>
    <mergeCell ref="A5:G5"/>
    <mergeCell ref="A6:G6"/>
    <mergeCell ref="A7:G7"/>
    <mergeCell ref="B10:C12"/>
    <mergeCell ref="D10:E10"/>
    <mergeCell ref="F10:G10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="140" zoomScaleNormal="140" workbookViewId="0">
      <selection activeCell="K49" sqref="K49"/>
    </sheetView>
  </sheetViews>
  <sheetFormatPr defaultColWidth="8.81640625" defaultRowHeight="11.25" customHeight="1" x14ac:dyDescent="0.2"/>
  <cols>
    <col min="1" max="1" width="50.54296875" style="770" customWidth="1"/>
    <col min="2" max="2" width="9" style="770" customWidth="1"/>
    <col min="3" max="3" width="11.453125" style="770" customWidth="1"/>
    <col min="4" max="12" width="9" style="770" customWidth="1"/>
    <col min="13" max="13" width="7.7265625" style="770" customWidth="1"/>
    <col min="14" max="16384" width="8.81640625" style="770"/>
  </cols>
  <sheetData>
    <row r="1" spans="1:15" ht="15.75" customHeight="1" x14ac:dyDescent="0.3">
      <c r="A1" s="771" t="s">
        <v>1024</v>
      </c>
      <c r="B1" s="772"/>
      <c r="C1" s="772"/>
    </row>
    <row r="3" spans="1:15" ht="11.25" customHeight="1" x14ac:dyDescent="0.25">
      <c r="A3" s="1253" t="str">
        <f>+'Informações Iniciais'!A1:B1</f>
        <v>ESTADO DO MARANHÃO - PREFEITURA MUNICIPAL DE DAVINOPOLIS</v>
      </c>
      <c r="B3" s="1253"/>
      <c r="C3" s="1253"/>
      <c r="D3" s="1253"/>
      <c r="E3" s="1253"/>
      <c r="F3" s="1253"/>
      <c r="G3" s="1253"/>
      <c r="H3" s="1253"/>
      <c r="I3" s="1253"/>
      <c r="J3" s="1253"/>
      <c r="K3" s="1253"/>
      <c r="L3" s="1253"/>
      <c r="M3" s="773"/>
    </row>
    <row r="4" spans="1:15" ht="11.25" customHeight="1" x14ac:dyDescent="0.25">
      <c r="A4" s="1253" t="s">
        <v>1</v>
      </c>
      <c r="B4" s="1253"/>
      <c r="C4" s="1253"/>
      <c r="D4" s="1253"/>
      <c r="E4" s="1253"/>
      <c r="F4" s="1253"/>
      <c r="G4" s="1253"/>
      <c r="H4" s="1253"/>
      <c r="I4" s="1253"/>
      <c r="J4" s="1253"/>
      <c r="K4" s="1253"/>
      <c r="L4" s="1253"/>
      <c r="M4" s="773"/>
    </row>
    <row r="5" spans="1:15" ht="12.75" customHeight="1" x14ac:dyDescent="0.25">
      <c r="A5" s="1254" t="s">
        <v>1025</v>
      </c>
      <c r="B5" s="1254"/>
      <c r="C5" s="1254"/>
      <c r="D5" s="1254"/>
      <c r="E5" s="1254"/>
      <c r="F5" s="1254"/>
      <c r="G5" s="1254"/>
      <c r="H5" s="1254"/>
      <c r="I5" s="1254"/>
      <c r="J5" s="1254"/>
      <c r="K5" s="1254"/>
      <c r="L5" s="1254"/>
      <c r="M5" s="773"/>
    </row>
    <row r="6" spans="1:15" ht="11.25" customHeight="1" x14ac:dyDescent="0.25">
      <c r="A6" s="1253" t="s">
        <v>29</v>
      </c>
      <c r="B6" s="1253"/>
      <c r="C6" s="1253"/>
      <c r="D6" s="1253"/>
      <c r="E6" s="1253"/>
      <c r="F6" s="1253"/>
      <c r="G6" s="1253"/>
      <c r="H6" s="1253"/>
      <c r="I6" s="1253"/>
      <c r="J6" s="1253"/>
      <c r="K6" s="1253"/>
      <c r="L6" s="1253"/>
      <c r="M6" s="773"/>
    </row>
    <row r="7" spans="1:15" ht="11.25" customHeight="1" x14ac:dyDescent="0.25">
      <c r="A7" s="1253" t="str">
        <f>+'Informações Iniciais'!A5:B5</f>
        <v>5º Bimestre de 2018</v>
      </c>
      <c r="B7" s="1253"/>
      <c r="C7" s="1253"/>
      <c r="D7" s="1253"/>
      <c r="E7" s="1253"/>
      <c r="F7" s="1253"/>
      <c r="G7" s="1253"/>
      <c r="H7" s="1253"/>
      <c r="I7" s="1253"/>
      <c r="J7" s="1253"/>
      <c r="K7" s="1253"/>
      <c r="L7" s="1253"/>
      <c r="M7" s="773"/>
    </row>
    <row r="8" spans="1:15" ht="15.75" customHeight="1" x14ac:dyDescent="0.25">
      <c r="A8" s="1255" t="str">
        <f>IF(M8&gt;0,"ERRO!!!  Em alguma linha o saldo ''Até o bimestre'' está menor que o valor ''No bimestre''. Verifique!!!","")</f>
        <v/>
      </c>
      <c r="B8" s="1255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773">
        <f>SUM(M12:M21)</f>
        <v>0</v>
      </c>
    </row>
    <row r="9" spans="1:15" ht="11.25" customHeight="1" x14ac:dyDescent="0.25">
      <c r="A9" s="1256" t="s">
        <v>1026</v>
      </c>
      <c r="B9" s="1256"/>
      <c r="C9" s="1256"/>
      <c r="D9" s="1256"/>
      <c r="E9" s="1257"/>
      <c r="F9" s="1257"/>
      <c r="G9" s="1257"/>
      <c r="H9" s="774"/>
      <c r="I9" s="1258"/>
      <c r="J9" s="1258"/>
      <c r="K9" s="1259" t="s">
        <v>31</v>
      </c>
      <c r="L9" s="1259"/>
      <c r="M9" s="773"/>
    </row>
    <row r="10" spans="1:15" s="778" customFormat="1" ht="11.25" customHeight="1" x14ac:dyDescent="0.25">
      <c r="A10" s="1260" t="s">
        <v>1027</v>
      </c>
      <c r="B10" s="1261" t="s">
        <v>1028</v>
      </c>
      <c r="C10" s="1261"/>
      <c r="D10" s="1261"/>
      <c r="E10" s="1262" t="s">
        <v>1029</v>
      </c>
      <c r="F10" s="1262"/>
      <c r="G10" s="1262"/>
      <c r="H10" s="1262"/>
      <c r="I10" s="1262"/>
      <c r="J10" s="775" t="str">
        <f>RIGHT('Informações Iniciais'!IV5,4)</f>
        <v>2018</v>
      </c>
      <c r="K10" s="776"/>
      <c r="L10" s="776"/>
      <c r="M10" s="777"/>
      <c r="O10" s="778" t="s">
        <v>1030</v>
      </c>
    </row>
    <row r="11" spans="1:15" s="778" customFormat="1" ht="11.25" customHeight="1" x14ac:dyDescent="0.25">
      <c r="A11" s="1260"/>
      <c r="B11" s="1263" t="str">
        <f>CONCATENATE(O10,(J10-1))</f>
        <v>31 DE DEZEMBRO DE 2017</v>
      </c>
      <c r="C11" s="1263"/>
      <c r="D11" s="1263"/>
      <c r="E11" s="1264" t="s">
        <v>1031</v>
      </c>
      <c r="F11" s="1264"/>
      <c r="G11" s="1264"/>
      <c r="H11" s="1264"/>
      <c r="I11" s="1265" t="s">
        <v>1032</v>
      </c>
      <c r="J11" s="1265"/>
      <c r="K11" s="1265"/>
      <c r="L11" s="1265"/>
      <c r="M11" s="777"/>
    </row>
    <row r="12" spans="1:15" s="778" customFormat="1" ht="11.25" customHeight="1" x14ac:dyDescent="0.25">
      <c r="A12" s="779" t="s">
        <v>1033</v>
      </c>
      <c r="B12" s="1266">
        <f>+B13</f>
        <v>0</v>
      </c>
      <c r="C12" s="1266"/>
      <c r="D12" s="1266"/>
      <c r="E12" s="1267">
        <f>+E13</f>
        <v>0</v>
      </c>
      <c r="F12" s="1267"/>
      <c r="G12" s="1267"/>
      <c r="H12" s="1267"/>
      <c r="I12" s="1268">
        <f>+I13</f>
        <v>0</v>
      </c>
      <c r="J12" s="1268"/>
      <c r="K12" s="1268"/>
      <c r="L12" s="1268"/>
      <c r="M12" s="777">
        <f>IF(E12&gt;I12,1,0)</f>
        <v>0</v>
      </c>
    </row>
    <row r="13" spans="1:15" s="778" customFormat="1" ht="11.25" customHeight="1" x14ac:dyDescent="0.25">
      <c r="A13" s="780" t="s">
        <v>1034</v>
      </c>
      <c r="B13" s="1269"/>
      <c r="C13" s="1269"/>
      <c r="D13" s="1269"/>
      <c r="E13" s="1270"/>
      <c r="F13" s="1270"/>
      <c r="G13" s="1270"/>
      <c r="H13" s="1270"/>
      <c r="I13" s="1271"/>
      <c r="J13" s="1271"/>
      <c r="K13" s="1271"/>
      <c r="L13" s="1271"/>
      <c r="M13" s="777"/>
    </row>
    <row r="14" spans="1:15" s="778" customFormat="1" ht="11.25" customHeight="1" x14ac:dyDescent="0.25">
      <c r="A14" s="781" t="s">
        <v>1035</v>
      </c>
      <c r="B14" s="1272">
        <f>SUM(B15:D17)</f>
        <v>0</v>
      </c>
      <c r="C14" s="1272"/>
      <c r="D14" s="1272"/>
      <c r="E14" s="1273">
        <f>SUM(E15:H17)</f>
        <v>0</v>
      </c>
      <c r="F14" s="1273"/>
      <c r="G14" s="1273"/>
      <c r="H14" s="1273"/>
      <c r="I14" s="1274">
        <f>SUM(I15:L17)</f>
        <v>0</v>
      </c>
      <c r="J14" s="1274"/>
      <c r="K14" s="1274"/>
      <c r="L14" s="1274"/>
      <c r="M14" s="777">
        <f>IF(E14&gt;I14,1,0)</f>
        <v>0</v>
      </c>
    </row>
    <row r="15" spans="1:15" s="778" customFormat="1" ht="11.25" customHeight="1" x14ac:dyDescent="0.25">
      <c r="A15" s="782" t="s">
        <v>1036</v>
      </c>
      <c r="B15" s="1269"/>
      <c r="C15" s="1269"/>
      <c r="D15" s="1269"/>
      <c r="E15" s="1275"/>
      <c r="F15" s="1275"/>
      <c r="G15" s="1275"/>
      <c r="H15" s="1275"/>
      <c r="I15" s="1271"/>
      <c r="J15" s="1271"/>
      <c r="K15" s="1271"/>
      <c r="L15" s="1271"/>
      <c r="M15" s="777"/>
    </row>
    <row r="16" spans="1:15" s="778" customFormat="1" ht="11.25" customHeight="1" x14ac:dyDescent="0.25">
      <c r="A16" s="782" t="s">
        <v>1037</v>
      </c>
      <c r="B16" s="1269"/>
      <c r="C16" s="1269"/>
      <c r="D16" s="1269"/>
      <c r="E16" s="1275"/>
      <c r="F16" s="1275"/>
      <c r="G16" s="1275"/>
      <c r="H16" s="1275"/>
      <c r="I16" s="1271"/>
      <c r="J16" s="1271"/>
      <c r="K16" s="1271"/>
      <c r="L16" s="1271"/>
      <c r="M16" s="777"/>
    </row>
    <row r="17" spans="1:13" s="778" customFormat="1" ht="11.25" customHeight="1" x14ac:dyDescent="0.25">
      <c r="A17" s="783" t="s">
        <v>1038</v>
      </c>
      <c r="B17" s="1276"/>
      <c r="C17" s="1276"/>
      <c r="D17" s="1276"/>
      <c r="E17" s="1270"/>
      <c r="F17" s="1270"/>
      <c r="G17" s="1270"/>
      <c r="H17" s="1270"/>
      <c r="I17" s="1277"/>
      <c r="J17" s="1277"/>
      <c r="K17" s="1277"/>
      <c r="L17" s="1277"/>
      <c r="M17" s="777"/>
    </row>
    <row r="18" spans="1:13" s="778" customFormat="1" ht="11.25" customHeight="1" x14ac:dyDescent="0.25">
      <c r="A18" s="781" t="s">
        <v>1039</v>
      </c>
      <c r="B18" s="1272">
        <f>SUM(B19:D21)</f>
        <v>0</v>
      </c>
      <c r="C18" s="1272"/>
      <c r="D18" s="1272"/>
      <c r="E18" s="1273">
        <f>SUM(E19:H21)</f>
        <v>0</v>
      </c>
      <c r="F18" s="1273"/>
      <c r="G18" s="1273"/>
      <c r="H18" s="1273"/>
      <c r="I18" s="1274">
        <f>SUM(I19:L21)</f>
        <v>0</v>
      </c>
      <c r="J18" s="1274"/>
      <c r="K18" s="1274"/>
      <c r="L18" s="1274"/>
      <c r="M18" s="777">
        <f>IF(E18&gt;I18,1,0)</f>
        <v>0</v>
      </c>
    </row>
    <row r="19" spans="1:13" s="778" customFormat="1" ht="11.25" customHeight="1" x14ac:dyDescent="0.25">
      <c r="A19" s="782" t="s">
        <v>1040</v>
      </c>
      <c r="B19" s="1269"/>
      <c r="C19" s="1269"/>
      <c r="D19" s="1269"/>
      <c r="E19" s="1275"/>
      <c r="F19" s="1275"/>
      <c r="G19" s="1275"/>
      <c r="H19" s="1275"/>
      <c r="I19" s="1271"/>
      <c r="J19" s="1271"/>
      <c r="K19" s="1271"/>
      <c r="L19" s="1271"/>
      <c r="M19" s="777"/>
    </row>
    <row r="20" spans="1:13" s="778" customFormat="1" ht="11.25" customHeight="1" x14ac:dyDescent="0.25">
      <c r="A20" s="782" t="s">
        <v>1041</v>
      </c>
      <c r="B20" s="1278"/>
      <c r="C20" s="1278"/>
      <c r="D20" s="1278"/>
      <c r="E20" s="1278"/>
      <c r="F20" s="1278"/>
      <c r="G20" s="1278"/>
      <c r="H20" s="1278"/>
      <c r="I20" s="1279"/>
      <c r="J20" s="1279"/>
      <c r="K20" s="1279"/>
      <c r="L20" s="1279"/>
      <c r="M20" s="777"/>
    </row>
    <row r="21" spans="1:13" s="778" customFormat="1" ht="11.25" customHeight="1" x14ac:dyDescent="0.25">
      <c r="A21" s="783" t="s">
        <v>1042</v>
      </c>
      <c r="B21" s="1269"/>
      <c r="C21" s="1269"/>
      <c r="D21" s="1269"/>
      <c r="E21" s="1270"/>
      <c r="F21" s="1270"/>
      <c r="G21" s="1270"/>
      <c r="H21" s="1270"/>
      <c r="I21" s="1271"/>
      <c r="J21" s="1271"/>
      <c r="K21" s="1271"/>
      <c r="L21" s="1271"/>
      <c r="M21" s="777"/>
    </row>
    <row r="22" spans="1:13" ht="3" customHeight="1" x14ac:dyDescent="0.2">
      <c r="A22" s="1283"/>
      <c r="B22" s="1283"/>
      <c r="C22" s="1283"/>
      <c r="D22" s="1283"/>
      <c r="E22" s="1283"/>
      <c r="F22" s="1283"/>
      <c r="G22" s="1283"/>
      <c r="H22" s="1283"/>
      <c r="I22" s="1283"/>
      <c r="J22" s="1283"/>
      <c r="K22" s="1283"/>
      <c r="L22" s="1283"/>
    </row>
    <row r="23" spans="1:13" s="786" customFormat="1" ht="11.25" customHeight="1" x14ac:dyDescent="0.25">
      <c r="A23" s="784"/>
      <c r="B23" s="1265" t="s">
        <v>1043</v>
      </c>
      <c r="C23" s="1265" t="s">
        <v>1044</v>
      </c>
      <c r="D23" s="1265">
        <f>+C25+1</f>
        <v>2019</v>
      </c>
      <c r="E23" s="1265">
        <f t="shared" ref="E23:L23" si="0">+D23+1</f>
        <v>2020</v>
      </c>
      <c r="F23" s="1265">
        <f t="shared" si="0"/>
        <v>2021</v>
      </c>
      <c r="G23" s="1265">
        <f t="shared" si="0"/>
        <v>2022</v>
      </c>
      <c r="H23" s="1265">
        <f t="shared" si="0"/>
        <v>2023</v>
      </c>
      <c r="I23" s="1265">
        <f t="shared" si="0"/>
        <v>2024</v>
      </c>
      <c r="J23" s="1265">
        <f t="shared" si="0"/>
        <v>2025</v>
      </c>
      <c r="K23" s="1265">
        <f t="shared" si="0"/>
        <v>2026</v>
      </c>
      <c r="L23" s="1265">
        <f t="shared" si="0"/>
        <v>2027</v>
      </c>
      <c r="M23" s="785"/>
    </row>
    <row r="24" spans="1:13" ht="11.25" customHeight="1" x14ac:dyDescent="0.2">
      <c r="A24" s="787" t="s">
        <v>1045</v>
      </c>
      <c r="B24" s="1265"/>
      <c r="C24" s="1265"/>
      <c r="D24" s="1265"/>
      <c r="E24" s="1265"/>
      <c r="F24" s="1265"/>
      <c r="G24" s="1265"/>
      <c r="H24" s="1265"/>
      <c r="I24" s="1265"/>
      <c r="J24" s="1265"/>
      <c r="K24" s="1265"/>
      <c r="L24" s="1265"/>
      <c r="M24" s="785"/>
    </row>
    <row r="25" spans="1:13" ht="14.65" customHeight="1" x14ac:dyDescent="0.2">
      <c r="A25" s="788"/>
      <c r="B25" s="1265"/>
      <c r="C25" s="789" t="str">
        <f>+J10</f>
        <v>2018</v>
      </c>
      <c r="D25" s="1265"/>
      <c r="E25" s="1265"/>
      <c r="F25" s="1265"/>
      <c r="G25" s="1265"/>
      <c r="H25" s="1265"/>
      <c r="I25" s="1265"/>
      <c r="J25" s="1265"/>
      <c r="K25" s="1265"/>
      <c r="L25" s="1265"/>
      <c r="M25" s="785"/>
    </row>
    <row r="26" spans="1:13" ht="11.25" customHeight="1" x14ac:dyDescent="0.25">
      <c r="A26" s="772" t="s">
        <v>1046</v>
      </c>
      <c r="B26" s="790"/>
      <c r="C26" s="790"/>
      <c r="D26" s="790"/>
      <c r="E26" s="790"/>
      <c r="F26" s="790"/>
      <c r="G26" s="790"/>
      <c r="H26" s="790"/>
      <c r="I26" s="790"/>
      <c r="J26" s="790"/>
      <c r="K26" s="791"/>
      <c r="L26" s="790"/>
      <c r="M26" s="792"/>
    </row>
    <row r="27" spans="1:13" ht="11.25" customHeight="1" x14ac:dyDescent="0.25">
      <c r="A27" s="772" t="s">
        <v>1047</v>
      </c>
      <c r="B27" s="790"/>
      <c r="C27" s="790"/>
      <c r="D27" s="790"/>
      <c r="E27" s="790"/>
      <c r="F27" s="790"/>
      <c r="G27" s="790"/>
      <c r="H27" s="790"/>
      <c r="I27" s="790"/>
      <c r="J27" s="790"/>
      <c r="K27" s="791"/>
      <c r="L27" s="790"/>
      <c r="M27" s="792"/>
    </row>
    <row r="28" spans="1:13" ht="11.25" customHeight="1" x14ac:dyDescent="0.25">
      <c r="A28" s="772" t="s">
        <v>1047</v>
      </c>
      <c r="B28" s="790"/>
      <c r="C28" s="790"/>
      <c r="D28" s="790"/>
      <c r="E28" s="790"/>
      <c r="F28" s="790"/>
      <c r="G28" s="790"/>
      <c r="H28" s="790"/>
      <c r="I28" s="790"/>
      <c r="J28" s="790"/>
      <c r="K28" s="791"/>
      <c r="L28" s="790"/>
      <c r="M28" s="792"/>
    </row>
    <row r="29" spans="1:13" ht="11.25" customHeight="1" x14ac:dyDescent="0.25">
      <c r="A29" s="772" t="s">
        <v>1048</v>
      </c>
      <c r="B29" s="790"/>
      <c r="C29" s="790"/>
      <c r="D29" s="790"/>
      <c r="E29" s="790"/>
      <c r="F29" s="790"/>
      <c r="G29" s="790"/>
      <c r="H29" s="790"/>
      <c r="I29" s="790"/>
      <c r="J29" s="790"/>
      <c r="K29" s="791"/>
      <c r="L29" s="790"/>
      <c r="M29" s="792"/>
    </row>
    <row r="30" spans="1:13" ht="11.25" customHeight="1" x14ac:dyDescent="0.25">
      <c r="A30" s="772" t="s">
        <v>1047</v>
      </c>
      <c r="B30" s="790"/>
      <c r="C30" s="790"/>
      <c r="D30" s="790"/>
      <c r="E30" s="790"/>
      <c r="F30" s="790"/>
      <c r="G30" s="790"/>
      <c r="H30" s="790"/>
      <c r="I30" s="790"/>
      <c r="J30" s="790"/>
      <c r="K30" s="791"/>
      <c r="L30" s="790"/>
      <c r="M30" s="792"/>
    </row>
    <row r="31" spans="1:13" ht="11.25" customHeight="1" x14ac:dyDescent="0.25">
      <c r="A31" s="772" t="s">
        <v>1047</v>
      </c>
      <c r="B31" s="790"/>
      <c r="C31" s="790"/>
      <c r="D31" s="790"/>
      <c r="E31" s="790"/>
      <c r="F31" s="790"/>
      <c r="G31" s="790"/>
      <c r="H31" s="790"/>
      <c r="I31" s="790"/>
      <c r="J31" s="790"/>
      <c r="K31" s="791"/>
      <c r="L31" s="790"/>
      <c r="M31" s="792"/>
    </row>
    <row r="32" spans="1:13" ht="11.25" customHeight="1" x14ac:dyDescent="0.2">
      <c r="A32" s="780" t="s">
        <v>1049</v>
      </c>
      <c r="B32" s="793">
        <f t="shared" ref="B32:L32" si="1">+B29+B26</f>
        <v>0</v>
      </c>
      <c r="C32" s="793">
        <f t="shared" si="1"/>
        <v>0</v>
      </c>
      <c r="D32" s="793">
        <f t="shared" si="1"/>
        <v>0</v>
      </c>
      <c r="E32" s="793">
        <f t="shared" si="1"/>
        <v>0</v>
      </c>
      <c r="F32" s="793">
        <f t="shared" si="1"/>
        <v>0</v>
      </c>
      <c r="G32" s="793">
        <f t="shared" si="1"/>
        <v>0</v>
      </c>
      <c r="H32" s="793">
        <f t="shared" si="1"/>
        <v>0</v>
      </c>
      <c r="I32" s="793">
        <f t="shared" si="1"/>
        <v>0</v>
      </c>
      <c r="J32" s="793">
        <f t="shared" si="1"/>
        <v>0</v>
      </c>
      <c r="K32" s="793">
        <f t="shared" si="1"/>
        <v>0</v>
      </c>
      <c r="L32" s="793">
        <f t="shared" si="1"/>
        <v>0</v>
      </c>
      <c r="M32" s="792"/>
    </row>
    <row r="33" spans="1:13" ht="11.25" customHeight="1" x14ac:dyDescent="0.2">
      <c r="A33" s="780" t="s">
        <v>1050</v>
      </c>
      <c r="B33" s="790"/>
      <c r="C33" s="790"/>
      <c r="D33" s="790"/>
      <c r="E33" s="790"/>
      <c r="F33" s="790"/>
      <c r="G33" s="790"/>
      <c r="H33" s="790"/>
      <c r="I33" s="790"/>
      <c r="J33" s="790"/>
      <c r="K33" s="791"/>
      <c r="L33" s="790"/>
      <c r="M33" s="792"/>
    </row>
    <row r="34" spans="1:13" ht="11.25" customHeight="1" x14ac:dyDescent="0.2">
      <c r="A34" s="794" t="s">
        <v>1051</v>
      </c>
      <c r="B34" s="795"/>
      <c r="C34" s="793">
        <f>IF(M34&gt;0,M34,0)</f>
        <v>26769554.939999998</v>
      </c>
      <c r="D34" s="795"/>
      <c r="E34" s="795"/>
      <c r="F34" s="795"/>
      <c r="G34" s="795"/>
      <c r="H34" s="795"/>
      <c r="I34" s="795"/>
      <c r="J34" s="795"/>
      <c r="K34" s="796"/>
      <c r="L34" s="795"/>
      <c r="M34" s="797">
        <f>+'Anexo 3 - RCL'!N41</f>
        <v>26769554.939999998</v>
      </c>
    </row>
    <row r="35" spans="1:13" ht="11.25" customHeight="1" x14ac:dyDescent="0.25">
      <c r="A35" s="772" t="s">
        <v>1052</v>
      </c>
      <c r="B35" s="793">
        <f t="shared" ref="B35:L35" si="2">+B26+B33</f>
        <v>0</v>
      </c>
      <c r="C35" s="793">
        <f t="shared" si="2"/>
        <v>0</v>
      </c>
      <c r="D35" s="793">
        <f t="shared" si="2"/>
        <v>0</v>
      </c>
      <c r="E35" s="793">
        <f t="shared" si="2"/>
        <v>0</v>
      </c>
      <c r="F35" s="793">
        <f t="shared" si="2"/>
        <v>0</v>
      </c>
      <c r="G35" s="793">
        <f t="shared" si="2"/>
        <v>0</v>
      </c>
      <c r="H35" s="793">
        <f t="shared" si="2"/>
        <v>0</v>
      </c>
      <c r="I35" s="793">
        <f t="shared" si="2"/>
        <v>0</v>
      </c>
      <c r="J35" s="793">
        <f t="shared" si="2"/>
        <v>0</v>
      </c>
      <c r="K35" s="793">
        <f t="shared" si="2"/>
        <v>0</v>
      </c>
      <c r="L35" s="793">
        <f t="shared" si="2"/>
        <v>0</v>
      </c>
      <c r="M35" s="792"/>
    </row>
    <row r="36" spans="1:13" ht="11.25" customHeight="1" x14ac:dyDescent="0.2">
      <c r="A36" s="798" t="s">
        <v>1053</v>
      </c>
      <c r="B36" s="799">
        <f t="shared" ref="B36:L36" si="3">IF(B34="",0,IF(B34=0,0,+B35/B34))</f>
        <v>0</v>
      </c>
      <c r="C36" s="799">
        <f t="shared" si="3"/>
        <v>0</v>
      </c>
      <c r="D36" s="799">
        <f t="shared" si="3"/>
        <v>0</v>
      </c>
      <c r="E36" s="799">
        <f t="shared" si="3"/>
        <v>0</v>
      </c>
      <c r="F36" s="799">
        <f t="shared" si="3"/>
        <v>0</v>
      </c>
      <c r="G36" s="799">
        <f t="shared" si="3"/>
        <v>0</v>
      </c>
      <c r="H36" s="799">
        <f t="shared" si="3"/>
        <v>0</v>
      </c>
      <c r="I36" s="799">
        <f t="shared" si="3"/>
        <v>0</v>
      </c>
      <c r="J36" s="799">
        <f t="shared" si="3"/>
        <v>0</v>
      </c>
      <c r="K36" s="799">
        <f t="shared" si="3"/>
        <v>0</v>
      </c>
      <c r="L36" s="799">
        <f t="shared" si="3"/>
        <v>0</v>
      </c>
      <c r="M36" s="792"/>
    </row>
    <row r="37" spans="1:13" s="801" customFormat="1" ht="11.25" customHeight="1" x14ac:dyDescent="0.2">
      <c r="A37" s="1280" t="s">
        <v>632</v>
      </c>
      <c r="B37" s="1280"/>
      <c r="C37" s="1280"/>
      <c r="D37" s="1280"/>
      <c r="E37" s="1280"/>
      <c r="F37" s="1280"/>
      <c r="G37" s="1280"/>
      <c r="H37" s="1280"/>
      <c r="I37" s="1280"/>
      <c r="J37" s="1280"/>
      <c r="K37" s="1280"/>
      <c r="L37" s="1280"/>
      <c r="M37" s="800"/>
    </row>
    <row r="38" spans="1:13" ht="31.5" customHeight="1" x14ac:dyDescent="0.25">
      <c r="A38" s="1281" t="s">
        <v>160</v>
      </c>
      <c r="B38" s="1281"/>
      <c r="C38" s="1281"/>
      <c r="D38" s="1281"/>
      <c r="E38" s="1281"/>
      <c r="F38" s="1281"/>
      <c r="G38" s="1281"/>
      <c r="H38" s="1281"/>
      <c r="I38" s="1281"/>
      <c r="J38" s="1281"/>
      <c r="K38" s="1281"/>
      <c r="L38" s="1281"/>
      <c r="M38" s="802"/>
    </row>
    <row r="39" spans="1:13" ht="20.25" customHeight="1" x14ac:dyDescent="0.2">
      <c r="A39" s="1282" t="s">
        <v>1054</v>
      </c>
      <c r="B39" s="1282"/>
      <c r="C39" s="1282"/>
      <c r="D39" s="1282"/>
      <c r="E39" s="1282"/>
      <c r="F39" s="1282"/>
      <c r="G39" s="1282"/>
      <c r="H39" s="1282"/>
      <c r="I39" s="1282"/>
      <c r="J39" s="1282"/>
      <c r="K39" s="1282"/>
      <c r="L39" s="1282"/>
    </row>
  </sheetData>
  <sheetProtection password="F3F6" sheet="1"/>
  <mergeCells count="61">
    <mergeCell ref="K23:K25"/>
    <mergeCell ref="L23:L25"/>
    <mergeCell ref="A37:L37"/>
    <mergeCell ref="A38:L38"/>
    <mergeCell ref="A39:L39"/>
    <mergeCell ref="A22:L22"/>
    <mergeCell ref="B23:B25"/>
    <mergeCell ref="C23:C24"/>
    <mergeCell ref="D23:D25"/>
    <mergeCell ref="E23:E25"/>
    <mergeCell ref="F23:F25"/>
    <mergeCell ref="G23:G25"/>
    <mergeCell ref="H23:H25"/>
    <mergeCell ref="I23:I25"/>
    <mergeCell ref="J23:J25"/>
    <mergeCell ref="B20:D20"/>
    <mergeCell ref="E20:H20"/>
    <mergeCell ref="I20:L20"/>
    <mergeCell ref="B21:D21"/>
    <mergeCell ref="E21:H21"/>
    <mergeCell ref="I21:L21"/>
    <mergeCell ref="B18:D18"/>
    <mergeCell ref="E18:H18"/>
    <mergeCell ref="I18:L18"/>
    <mergeCell ref="B19:D19"/>
    <mergeCell ref="E19:H19"/>
    <mergeCell ref="I19:L19"/>
    <mergeCell ref="B16:D16"/>
    <mergeCell ref="E16:H16"/>
    <mergeCell ref="I16:L16"/>
    <mergeCell ref="B17:D17"/>
    <mergeCell ref="E17:H17"/>
    <mergeCell ref="I17:L17"/>
    <mergeCell ref="B14:D14"/>
    <mergeCell ref="E14:H14"/>
    <mergeCell ref="I14:L14"/>
    <mergeCell ref="B15:D15"/>
    <mergeCell ref="E15:H15"/>
    <mergeCell ref="I15:L15"/>
    <mergeCell ref="B12:D12"/>
    <mergeCell ref="E12:H12"/>
    <mergeCell ref="I12:L12"/>
    <mergeCell ref="B13:D13"/>
    <mergeCell ref="E13:H13"/>
    <mergeCell ref="I13:L13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A3:L3"/>
    <mergeCell ref="A4:L4"/>
    <mergeCell ref="A5:L5"/>
    <mergeCell ref="A6:L6"/>
    <mergeCell ref="A7:L7"/>
    <mergeCell ref="A8:L8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topLeftCell="B78" zoomScale="140" zoomScaleNormal="140" workbookViewId="0">
      <selection activeCell="D89" sqref="D89"/>
    </sheetView>
  </sheetViews>
  <sheetFormatPr defaultColWidth="0.7265625" defaultRowHeight="11.25" customHeight="1" x14ac:dyDescent="0.25"/>
  <cols>
    <col min="1" max="1" width="84.453125" style="551" customWidth="1"/>
    <col min="2" max="2" width="16.1796875" style="551" customWidth="1"/>
    <col min="3" max="3" width="16.1796875" style="803" customWidth="1"/>
    <col min="4" max="5" width="16.1796875" style="551" customWidth="1"/>
    <col min="6" max="59" width="15.453125" style="551" customWidth="1"/>
    <col min="60" max="16384" width="0.7265625" style="551"/>
  </cols>
  <sheetData>
    <row r="1" spans="1:5" ht="15.75" customHeight="1" x14ac:dyDescent="0.3">
      <c r="A1" s="1284" t="s">
        <v>1055</v>
      </c>
      <c r="B1" s="1284"/>
      <c r="C1" s="1284"/>
      <c r="D1" s="1284"/>
      <c r="E1" s="1284"/>
    </row>
    <row r="2" spans="1:5" ht="11.25" customHeight="1" x14ac:dyDescent="0.25">
      <c r="A2" s="804"/>
    </row>
    <row r="3" spans="1:5" ht="11.25" customHeight="1" x14ac:dyDescent="0.25">
      <c r="A3" s="1166" t="str">
        <f>+'Informações Iniciais'!A1</f>
        <v>ESTADO DO MARANHÃO - PREFEITURA MUNICIPAL DE DAVINOPOLIS</v>
      </c>
      <c r="B3" s="1166"/>
      <c r="C3" s="1166"/>
      <c r="D3" s="1166"/>
      <c r="E3" s="1166"/>
    </row>
    <row r="4" spans="1:5" ht="11.25" customHeight="1" x14ac:dyDescent="0.25">
      <c r="A4" s="1167" t="s">
        <v>1056</v>
      </c>
      <c r="B4" s="1167"/>
      <c r="C4" s="1167"/>
      <c r="D4" s="1167"/>
      <c r="E4" s="1167"/>
    </row>
    <row r="5" spans="1:5" ht="11.25" customHeight="1" x14ac:dyDescent="0.25">
      <c r="A5" s="1166" t="s">
        <v>29</v>
      </c>
      <c r="B5" s="1166"/>
      <c r="C5" s="1166"/>
      <c r="D5" s="1166"/>
      <c r="E5" s="1166"/>
    </row>
    <row r="6" spans="1:5" ht="11.25" customHeight="1" x14ac:dyDescent="0.25">
      <c r="A6" s="1166" t="str">
        <f>+'Informações Iniciais'!A5</f>
        <v>5º Bimestre de 2018</v>
      </c>
      <c r="B6" s="1166"/>
      <c r="C6" s="1166"/>
      <c r="D6" s="1166"/>
      <c r="E6" s="1166"/>
    </row>
    <row r="7" spans="1:5" ht="11.25" customHeight="1" x14ac:dyDescent="0.25">
      <c r="A7" s="805"/>
      <c r="B7" s="805"/>
      <c r="C7" s="805"/>
      <c r="D7" s="805"/>
      <c r="E7" s="805"/>
    </row>
    <row r="8" spans="1:5" ht="11.25" customHeight="1" x14ac:dyDescent="0.25">
      <c r="A8" s="551" t="s">
        <v>1057</v>
      </c>
      <c r="E8" s="806" t="s">
        <v>31</v>
      </c>
    </row>
    <row r="9" spans="1:5" s="809" customFormat="1" ht="21" customHeight="1" x14ac:dyDescent="0.25">
      <c r="A9" s="807" t="s">
        <v>28</v>
      </c>
      <c r="B9" s="1285" t="s">
        <v>39</v>
      </c>
      <c r="C9" s="1285"/>
      <c r="D9" s="1285"/>
      <c r="E9" s="1285"/>
    </row>
    <row r="10" spans="1:5" ht="11.25" customHeight="1" x14ac:dyDescent="0.25">
      <c r="A10" s="810" t="s">
        <v>32</v>
      </c>
      <c r="B10" s="1176"/>
      <c r="C10" s="1176"/>
      <c r="D10" s="1176"/>
      <c r="E10" s="1176"/>
    </row>
    <row r="11" spans="1:5" ht="11.25" customHeight="1" x14ac:dyDescent="0.25">
      <c r="A11" s="811" t="s">
        <v>1058</v>
      </c>
      <c r="B11" s="1178">
        <v>55148922.100000001</v>
      </c>
      <c r="C11" s="1178"/>
      <c r="D11" s="1178"/>
      <c r="E11" s="1178"/>
    </row>
    <row r="12" spans="1:5" ht="11.25" customHeight="1" x14ac:dyDescent="0.25">
      <c r="A12" s="811" t="s">
        <v>1059</v>
      </c>
      <c r="B12" s="1178">
        <v>55148922.100000001</v>
      </c>
      <c r="C12" s="1178"/>
      <c r="D12" s="1178"/>
      <c r="E12" s="1178"/>
    </row>
    <row r="13" spans="1:5" ht="11.25" customHeight="1" x14ac:dyDescent="0.25">
      <c r="A13" s="811" t="s">
        <v>1060</v>
      </c>
      <c r="B13" s="1178">
        <v>28502379.039999999</v>
      </c>
      <c r="C13" s="1178"/>
      <c r="D13" s="1178"/>
      <c r="E13" s="1178"/>
    </row>
    <row r="14" spans="1:5" ht="11.25" customHeight="1" x14ac:dyDescent="0.25">
      <c r="A14" s="811" t="s">
        <v>1061</v>
      </c>
      <c r="B14" s="1178"/>
      <c r="C14" s="1178"/>
      <c r="D14" s="1178"/>
      <c r="E14" s="1178"/>
    </row>
    <row r="15" spans="1:5" ht="11.25" customHeight="1" x14ac:dyDescent="0.25">
      <c r="A15" s="811" t="s">
        <v>1062</v>
      </c>
      <c r="B15" s="1178"/>
      <c r="C15" s="1178"/>
      <c r="D15" s="1178"/>
      <c r="E15" s="1178"/>
    </row>
    <row r="16" spans="1:5" ht="11.25" customHeight="1" x14ac:dyDescent="0.25">
      <c r="A16" s="810" t="s">
        <v>130</v>
      </c>
      <c r="B16" s="1179"/>
      <c r="C16" s="1179"/>
      <c r="D16" s="1179"/>
      <c r="E16" s="1179"/>
    </row>
    <row r="17" spans="1:5" ht="11.25" customHeight="1" x14ac:dyDescent="0.25">
      <c r="A17" s="812" t="s">
        <v>1063</v>
      </c>
      <c r="B17" s="1178">
        <v>50259789.899999999</v>
      </c>
      <c r="C17" s="1178"/>
      <c r="D17" s="1178"/>
      <c r="E17" s="1178"/>
    </row>
    <row r="18" spans="1:5" ht="11.25" customHeight="1" x14ac:dyDescent="0.25">
      <c r="A18" s="812" t="s">
        <v>1064</v>
      </c>
      <c r="B18" s="1178"/>
      <c r="C18" s="1178"/>
      <c r="D18" s="1178"/>
      <c r="E18" s="1178"/>
    </row>
    <row r="19" spans="1:5" ht="11.25" customHeight="1" x14ac:dyDescent="0.25">
      <c r="A19" s="812" t="s">
        <v>1065</v>
      </c>
      <c r="B19" s="1178">
        <v>50259789.899999999</v>
      </c>
      <c r="C19" s="1178"/>
      <c r="D19" s="1178"/>
      <c r="E19" s="1178"/>
    </row>
    <row r="20" spans="1:5" ht="11.25" customHeight="1" x14ac:dyDescent="0.25">
      <c r="A20" s="812" t="s">
        <v>1066</v>
      </c>
      <c r="B20" s="1178">
        <v>33643906.439999998</v>
      </c>
      <c r="C20" s="1178"/>
      <c r="D20" s="1178"/>
      <c r="E20" s="1178"/>
    </row>
    <row r="21" spans="1:5" ht="11.25" customHeight="1" x14ac:dyDescent="0.25">
      <c r="A21" s="811" t="s">
        <v>1067</v>
      </c>
      <c r="B21" s="1286">
        <v>24833314.969999999</v>
      </c>
      <c r="C21" s="1286"/>
      <c r="D21" s="1286"/>
      <c r="E21" s="1286"/>
    </row>
    <row r="22" spans="1:5" ht="11.25" customHeight="1" x14ac:dyDescent="0.25">
      <c r="A22" s="812" t="s">
        <v>1068</v>
      </c>
      <c r="B22" s="814"/>
      <c r="C22" s="815"/>
      <c r="D22" s="815"/>
      <c r="E22" s="813">
        <v>28426474.93</v>
      </c>
    </row>
    <row r="23" spans="1:5" ht="11.25" customHeight="1" x14ac:dyDescent="0.25">
      <c r="A23" s="554" t="s">
        <v>1069</v>
      </c>
      <c r="B23" s="1181">
        <v>1874789.7</v>
      </c>
      <c r="C23" s="1181"/>
      <c r="D23" s="1181"/>
      <c r="E23" s="1181"/>
    </row>
    <row r="24" spans="1:5" s="809" customFormat="1" ht="21" customHeight="1" x14ac:dyDescent="0.25">
      <c r="A24" s="807" t="s">
        <v>1070</v>
      </c>
      <c r="B24" s="1287" t="s">
        <v>39</v>
      </c>
      <c r="C24" s="1287"/>
      <c r="D24" s="1287"/>
      <c r="E24" s="1287"/>
    </row>
    <row r="25" spans="1:5" ht="11.25" customHeight="1" x14ac:dyDescent="0.25">
      <c r="A25" s="812" t="s">
        <v>1071</v>
      </c>
      <c r="B25" s="1175">
        <v>33643906.439999998</v>
      </c>
      <c r="C25" s="1175"/>
      <c r="D25" s="1175"/>
      <c r="E25" s="1175"/>
    </row>
    <row r="26" spans="1:5" ht="11.25" customHeight="1" x14ac:dyDescent="0.25">
      <c r="A26" s="816" t="s">
        <v>1072</v>
      </c>
      <c r="B26" s="1178">
        <v>24833314.969999999</v>
      </c>
      <c r="C26" s="1178"/>
      <c r="D26" s="1178"/>
      <c r="E26" s="1178"/>
    </row>
    <row r="27" spans="1:5" s="809" customFormat="1" ht="23.25" customHeight="1" x14ac:dyDescent="0.25">
      <c r="A27" s="817" t="s">
        <v>1073</v>
      </c>
      <c r="B27" s="1288" t="s">
        <v>39</v>
      </c>
      <c r="C27" s="1288"/>
      <c r="D27" s="1288"/>
      <c r="E27" s="1288"/>
    </row>
    <row r="28" spans="1:5" ht="11.25" customHeight="1" x14ac:dyDescent="0.25">
      <c r="A28" s="818" t="s">
        <v>1074</v>
      </c>
      <c r="B28" s="1289">
        <v>28502379.039999999</v>
      </c>
      <c r="C28" s="1289"/>
      <c r="D28" s="1289"/>
      <c r="E28" s="1289"/>
    </row>
    <row r="29" spans="1:5" ht="11.25" customHeight="1" x14ac:dyDescent="0.25">
      <c r="A29" s="812"/>
      <c r="B29" s="819"/>
      <c r="C29" s="820"/>
      <c r="D29" s="821"/>
    </row>
    <row r="30" spans="1:5" s="809" customFormat="1" ht="21.75" customHeight="1" x14ac:dyDescent="0.25">
      <c r="A30" s="807" t="s">
        <v>1075</v>
      </c>
      <c r="B30" s="1285" t="s">
        <v>39</v>
      </c>
      <c r="C30" s="1285"/>
      <c r="D30" s="1285"/>
      <c r="E30" s="1285"/>
    </row>
    <row r="31" spans="1:5" s="823" customFormat="1" ht="11.25" customHeight="1" x14ac:dyDescent="0.25">
      <c r="A31" s="822" t="s">
        <v>1076</v>
      </c>
      <c r="B31" s="1178"/>
      <c r="C31" s="1178"/>
      <c r="D31" s="1178"/>
      <c r="E31" s="1178"/>
    </row>
    <row r="32" spans="1:5" ht="11.25" customHeight="1" x14ac:dyDescent="0.25">
      <c r="A32" s="812" t="s">
        <v>1077</v>
      </c>
      <c r="B32" s="1178"/>
      <c r="C32" s="1178"/>
      <c r="D32" s="1178"/>
      <c r="E32" s="1178"/>
    </row>
    <row r="33" spans="1:5" ht="11.25" customHeight="1" x14ac:dyDescent="0.25">
      <c r="A33" s="812" t="s">
        <v>1078</v>
      </c>
      <c r="B33" s="1178"/>
      <c r="C33" s="1178"/>
      <c r="D33" s="1178"/>
      <c r="E33" s="1178"/>
    </row>
    <row r="34" spans="1:5" ht="11.25" customHeight="1" x14ac:dyDescent="0.25">
      <c r="A34" s="812" t="s">
        <v>1079</v>
      </c>
      <c r="B34" s="1179">
        <f>+B32-B33</f>
        <v>0</v>
      </c>
      <c r="C34" s="1179"/>
      <c r="D34" s="1179"/>
      <c r="E34" s="1179"/>
    </row>
    <row r="35" spans="1:5" ht="11.25" customHeight="1" x14ac:dyDescent="0.25">
      <c r="A35" s="822" t="s">
        <v>1080</v>
      </c>
      <c r="B35" s="1178"/>
      <c r="C35" s="1178"/>
      <c r="D35" s="1178"/>
      <c r="E35" s="1178"/>
    </row>
    <row r="36" spans="1:5" ht="11.25" customHeight="1" x14ac:dyDescent="0.25">
      <c r="A36" s="812" t="s">
        <v>1077</v>
      </c>
      <c r="B36" s="1178"/>
      <c r="C36" s="1178"/>
      <c r="D36" s="1178"/>
      <c r="E36" s="1178"/>
    </row>
    <row r="37" spans="1:5" ht="11.25" customHeight="1" x14ac:dyDescent="0.25">
      <c r="A37" s="812" t="s">
        <v>1081</v>
      </c>
      <c r="B37" s="1178"/>
      <c r="C37" s="1178"/>
      <c r="D37" s="1178"/>
      <c r="E37" s="1178"/>
    </row>
    <row r="38" spans="1:5" ht="11.25" customHeight="1" x14ac:dyDescent="0.25">
      <c r="A38" s="554" t="s">
        <v>1079</v>
      </c>
      <c r="B38" s="1182">
        <f>+B36-B37</f>
        <v>0</v>
      </c>
      <c r="C38" s="1182"/>
      <c r="D38" s="1182"/>
      <c r="E38" s="1182"/>
    </row>
    <row r="39" spans="1:5" ht="11.25" customHeight="1" x14ac:dyDescent="0.25">
      <c r="E39" s="812"/>
    </row>
    <row r="40" spans="1:5" ht="11.25" customHeight="1" x14ac:dyDescent="0.25">
      <c r="A40" s="1288" t="s">
        <v>1082</v>
      </c>
      <c r="B40" s="824" t="s">
        <v>1083</v>
      </c>
      <c r="C40" s="824" t="s">
        <v>1084</v>
      </c>
      <c r="D40" s="1287" t="s">
        <v>1085</v>
      </c>
      <c r="E40" s="1287"/>
    </row>
    <row r="41" spans="1:5" ht="11.25" customHeight="1" x14ac:dyDescent="0.25">
      <c r="A41" s="1288"/>
      <c r="B41" s="825" t="s">
        <v>1086</v>
      </c>
      <c r="C41" s="1290" t="s">
        <v>39</v>
      </c>
      <c r="D41" s="1287"/>
      <c r="E41" s="1287"/>
    </row>
    <row r="42" spans="1:5" ht="11.25" customHeight="1" x14ac:dyDescent="0.25">
      <c r="A42" s="1288"/>
      <c r="B42" s="825" t="s">
        <v>1087</v>
      </c>
      <c r="C42" s="1290"/>
      <c r="D42" s="1287"/>
      <c r="E42" s="1287"/>
    </row>
    <row r="43" spans="1:5" ht="11.25" customHeight="1" x14ac:dyDescent="0.25">
      <c r="A43" s="1288"/>
      <c r="B43" s="826" t="s">
        <v>40</v>
      </c>
      <c r="C43" s="826" t="s">
        <v>41</v>
      </c>
      <c r="D43" s="1291" t="s">
        <v>42</v>
      </c>
      <c r="E43" s="1291"/>
    </row>
    <row r="44" spans="1:5" ht="11.25" customHeight="1" x14ac:dyDescent="0.25">
      <c r="A44" s="811" t="s">
        <v>1088</v>
      </c>
      <c r="B44" s="827"/>
      <c r="C44" s="576"/>
      <c r="D44" s="1292">
        <f>IF(B44="",0,IF(B44=0,0,+C44/B44))</f>
        <v>0</v>
      </c>
      <c r="E44" s="1292"/>
    </row>
    <row r="45" spans="1:5" ht="11.25" customHeight="1" x14ac:dyDescent="0.25">
      <c r="A45" s="816" t="s">
        <v>1089</v>
      </c>
      <c r="B45" s="828"/>
      <c r="C45" s="829"/>
      <c r="D45" s="1293">
        <f>IF(B45="",0,IF(B45=0,0,+C45/B45))</f>
        <v>0</v>
      </c>
      <c r="E45" s="1293"/>
    </row>
    <row r="47" spans="1:5" ht="11.25" customHeight="1" x14ac:dyDescent="0.25">
      <c r="A47" s="1288" t="s">
        <v>1090</v>
      </c>
      <c r="B47" s="1285" t="s">
        <v>1091</v>
      </c>
      <c r="C47" s="824" t="s">
        <v>1092</v>
      </c>
      <c r="D47" s="830" t="s">
        <v>1093</v>
      </c>
      <c r="E47" s="824" t="s">
        <v>1094</v>
      </c>
    </row>
    <row r="48" spans="1:5" ht="11.25" customHeight="1" x14ac:dyDescent="0.25">
      <c r="A48" s="1288"/>
      <c r="B48" s="1285"/>
      <c r="C48" s="826" t="s">
        <v>39</v>
      </c>
      <c r="D48" s="831" t="s">
        <v>39</v>
      </c>
      <c r="E48" s="826" t="s">
        <v>1095</v>
      </c>
    </row>
    <row r="49" spans="1:59" ht="11.25" customHeight="1" x14ac:dyDescent="0.25">
      <c r="A49" s="811" t="s">
        <v>1096</v>
      </c>
      <c r="B49" s="832">
        <f>SUM(B50:B54)</f>
        <v>1892160.09</v>
      </c>
      <c r="C49" s="832">
        <f>SUM(C50:C54)</f>
        <v>0</v>
      </c>
      <c r="D49" s="832">
        <f>SUM(D50:D54)</f>
        <v>807000.29</v>
      </c>
      <c r="E49" s="832">
        <f>SUM(E50:E54)</f>
        <v>1085159.8</v>
      </c>
    </row>
    <row r="50" spans="1:59" ht="11.25" customHeight="1" x14ac:dyDescent="0.25">
      <c r="A50" s="811" t="s">
        <v>1097</v>
      </c>
      <c r="B50" s="827">
        <v>1892160.09</v>
      </c>
      <c r="C50" s="827"/>
      <c r="D50" s="827">
        <v>807000.29</v>
      </c>
      <c r="E50" s="827">
        <v>1085159.8</v>
      </c>
    </row>
    <row r="51" spans="1:59" ht="11.25" customHeight="1" x14ac:dyDescent="0.25">
      <c r="A51" s="811" t="s">
        <v>1098</v>
      </c>
      <c r="B51" s="827"/>
      <c r="C51" s="827"/>
      <c r="D51" s="827"/>
      <c r="E51" s="827"/>
    </row>
    <row r="52" spans="1:59" ht="11.25" customHeight="1" x14ac:dyDescent="0.25">
      <c r="A52" s="811" t="s">
        <v>1099</v>
      </c>
      <c r="B52" s="827"/>
      <c r="C52" s="827"/>
      <c r="D52" s="827"/>
      <c r="E52" s="827"/>
    </row>
    <row r="53" spans="1:59" ht="11.25" customHeight="1" x14ac:dyDescent="0.25">
      <c r="A53" s="811" t="s">
        <v>1100</v>
      </c>
      <c r="B53" s="827"/>
      <c r="C53" s="827"/>
      <c r="D53" s="827"/>
      <c r="E53" s="827"/>
    </row>
    <row r="54" spans="1:59" ht="11.25" customHeight="1" x14ac:dyDescent="0.25">
      <c r="A54" s="811" t="s">
        <v>1101</v>
      </c>
      <c r="B54" s="827"/>
      <c r="C54" s="827"/>
      <c r="D54" s="827"/>
      <c r="E54" s="827"/>
    </row>
    <row r="55" spans="1:59" ht="11.25" customHeight="1" x14ac:dyDescent="0.25">
      <c r="A55" s="811" t="s">
        <v>1102</v>
      </c>
      <c r="B55" s="832">
        <f>SUM(B56:B60)</f>
        <v>0</v>
      </c>
      <c r="C55" s="832">
        <f>SUM(C56:C60)</f>
        <v>0</v>
      </c>
      <c r="D55" s="832">
        <f>SUM(D56:D60)</f>
        <v>0</v>
      </c>
      <c r="E55" s="832">
        <f>SUM(E56:E60)</f>
        <v>0</v>
      </c>
    </row>
    <row r="56" spans="1:59" ht="11.25" customHeight="1" x14ac:dyDescent="0.25">
      <c r="A56" s="811" t="s">
        <v>1097</v>
      </c>
      <c r="B56" s="827"/>
      <c r="C56" s="576"/>
      <c r="D56" s="576"/>
      <c r="E56" s="833"/>
    </row>
    <row r="57" spans="1:59" ht="11.25" customHeight="1" x14ac:dyDescent="0.25">
      <c r="A57" s="811" t="s">
        <v>1098</v>
      </c>
      <c r="B57" s="827"/>
      <c r="C57" s="576"/>
      <c r="D57" s="576"/>
      <c r="E57" s="833"/>
    </row>
    <row r="58" spans="1:59" ht="11.25" customHeight="1" x14ac:dyDescent="0.25">
      <c r="A58" s="811" t="s">
        <v>1099</v>
      </c>
      <c r="B58" s="827"/>
      <c r="C58" s="576"/>
      <c r="D58" s="576"/>
      <c r="E58" s="833"/>
    </row>
    <row r="59" spans="1:59" ht="11.25" customHeight="1" x14ac:dyDescent="0.25">
      <c r="A59" s="811" t="s">
        <v>1100</v>
      </c>
      <c r="B59" s="827"/>
      <c r="C59" s="576"/>
      <c r="D59" s="834"/>
      <c r="E59" s="835"/>
    </row>
    <row r="60" spans="1:59" ht="11.25" customHeight="1" x14ac:dyDescent="0.25">
      <c r="A60" s="811" t="s">
        <v>1101</v>
      </c>
      <c r="B60" s="827"/>
      <c r="C60" s="576"/>
      <c r="D60" s="834"/>
      <c r="E60" s="83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836" t="s">
        <v>1001</v>
      </c>
      <c r="B61" s="837">
        <f>+B55+B49</f>
        <v>1892160.09</v>
      </c>
      <c r="C61" s="837">
        <f>+C55+C49</f>
        <v>0</v>
      </c>
      <c r="D61" s="837">
        <f>+D55+D49</f>
        <v>807000.29</v>
      </c>
      <c r="E61" s="837">
        <f>+E55+E49</f>
        <v>1085159.8</v>
      </c>
    </row>
    <row r="62" spans="1:59" ht="11.25" customHeight="1" x14ac:dyDescent="0.25">
      <c r="A62" s="838"/>
      <c r="B62" s="1294" t="s">
        <v>1103</v>
      </c>
      <c r="C62" s="1295" t="s">
        <v>1104</v>
      </c>
      <c r="D62" s="1295"/>
      <c r="E62" s="1295"/>
    </row>
    <row r="63" spans="1:59" ht="11.25" customHeight="1" x14ac:dyDescent="0.25">
      <c r="A63" s="839" t="s">
        <v>1105</v>
      </c>
      <c r="B63" s="1294"/>
      <c r="C63" s="1294" t="s">
        <v>1106</v>
      </c>
      <c r="D63" s="1285" t="s">
        <v>1107</v>
      </c>
      <c r="E63" s="1285"/>
    </row>
    <row r="64" spans="1:59" ht="11.25" customHeight="1" x14ac:dyDescent="0.25">
      <c r="A64" s="840"/>
      <c r="B64" s="1294"/>
      <c r="C64" s="1294"/>
      <c r="D64" s="1285"/>
      <c r="E64" s="1285"/>
    </row>
    <row r="65" spans="1:5" ht="11.25" customHeight="1" x14ac:dyDescent="0.25">
      <c r="A65" s="811" t="s">
        <v>1108</v>
      </c>
      <c r="B65" s="833"/>
      <c r="C65" s="841">
        <v>0.25</v>
      </c>
      <c r="D65" s="1296"/>
      <c r="E65" s="1296"/>
    </row>
    <row r="66" spans="1:5" ht="13" customHeight="1" x14ac:dyDescent="0.25">
      <c r="A66" s="811" t="s">
        <v>1109</v>
      </c>
      <c r="B66" s="833"/>
      <c r="C66" s="841">
        <v>0.60000000000000009</v>
      </c>
      <c r="D66" s="1297"/>
      <c r="E66" s="1297"/>
    </row>
    <row r="67" spans="1:5" ht="11.25" customHeight="1" x14ac:dyDescent="0.25">
      <c r="A67" s="811" t="s">
        <v>1110</v>
      </c>
      <c r="B67" s="833">
        <v>5809938.4100000001</v>
      </c>
      <c r="C67" s="841">
        <v>0.60000000000000009</v>
      </c>
      <c r="D67" s="1297">
        <v>0.57250000000000001</v>
      </c>
      <c r="E67" s="1297"/>
    </row>
    <row r="68" spans="1:5" ht="11.25" customHeight="1" x14ac:dyDescent="0.25">
      <c r="A68" s="816" t="s">
        <v>1111</v>
      </c>
      <c r="B68" s="842"/>
      <c r="C68" s="843" t="s">
        <v>1112</v>
      </c>
      <c r="D68" s="1298"/>
      <c r="E68" s="1298"/>
    </row>
    <row r="69" spans="1:5" s="809" customFormat="1" ht="21.75" customHeight="1" x14ac:dyDescent="0.25">
      <c r="A69" s="844" t="s">
        <v>1113</v>
      </c>
      <c r="B69" s="1285" t="s">
        <v>1114</v>
      </c>
      <c r="C69" s="1285"/>
      <c r="D69" s="1285" t="s">
        <v>1115</v>
      </c>
      <c r="E69" s="1285"/>
    </row>
    <row r="70" spans="1:5" ht="11.25" customHeight="1" x14ac:dyDescent="0.25">
      <c r="A70" s="845" t="s">
        <v>1116</v>
      </c>
      <c r="B70" s="1175"/>
      <c r="C70" s="1175"/>
      <c r="D70" s="1175"/>
      <c r="E70" s="1175"/>
    </row>
    <row r="71" spans="1:5" ht="11.25" customHeight="1" x14ac:dyDescent="0.25">
      <c r="A71" s="816" t="s">
        <v>1117</v>
      </c>
      <c r="B71" s="1181">
        <v>5704703.3600000003</v>
      </c>
      <c r="C71" s="1181"/>
      <c r="D71" s="1181">
        <v>4332969.1900000004</v>
      </c>
      <c r="E71" s="1181"/>
    </row>
    <row r="72" spans="1:5" s="809" customFormat="1" ht="21.75" customHeight="1" x14ac:dyDescent="0.25">
      <c r="A72" s="846" t="s">
        <v>1118</v>
      </c>
      <c r="B72" s="808" t="s">
        <v>1119</v>
      </c>
      <c r="C72" s="847" t="s">
        <v>1120</v>
      </c>
      <c r="D72" s="808" t="s">
        <v>1121</v>
      </c>
      <c r="E72" s="808" t="s">
        <v>1122</v>
      </c>
    </row>
    <row r="73" spans="1:5" ht="11.25" customHeight="1" x14ac:dyDescent="0.25">
      <c r="A73" s="811" t="s">
        <v>1123</v>
      </c>
      <c r="B73" s="560"/>
      <c r="C73" s="560"/>
      <c r="D73" s="560"/>
      <c r="E73" s="560"/>
    </row>
    <row r="74" spans="1:5" ht="11.25" customHeight="1" x14ac:dyDescent="0.25">
      <c r="A74" s="811" t="s">
        <v>1124</v>
      </c>
      <c r="B74" s="833"/>
      <c r="C74" s="833"/>
      <c r="D74" s="833"/>
      <c r="E74" s="833"/>
    </row>
    <row r="75" spans="1:5" ht="11.25" customHeight="1" x14ac:dyDescent="0.25">
      <c r="A75" s="811" t="s">
        <v>1125</v>
      </c>
      <c r="B75" s="833"/>
      <c r="C75" s="833"/>
      <c r="D75" s="833"/>
      <c r="E75" s="833"/>
    </row>
    <row r="76" spans="1:5" ht="11.25" customHeight="1" x14ac:dyDescent="0.25">
      <c r="A76" s="811" t="s">
        <v>1079</v>
      </c>
      <c r="B76" s="562">
        <f>+B74-B75</f>
        <v>0</v>
      </c>
      <c r="C76" s="562">
        <f>+C74-C75</f>
        <v>0</v>
      </c>
      <c r="D76" s="562">
        <f>+D74-D75</f>
        <v>0</v>
      </c>
      <c r="E76" s="562">
        <f>+E74-E75</f>
        <v>0</v>
      </c>
    </row>
    <row r="77" spans="1:5" ht="11.25" customHeight="1" x14ac:dyDescent="0.25">
      <c r="A77" s="811" t="s">
        <v>1126</v>
      </c>
      <c r="B77" s="833"/>
      <c r="C77" s="833"/>
      <c r="D77" s="833"/>
      <c r="E77" s="833"/>
    </row>
    <row r="78" spans="1:5" ht="11.25" customHeight="1" x14ac:dyDescent="0.25">
      <c r="A78" s="811" t="s">
        <v>1124</v>
      </c>
      <c r="B78" s="833"/>
      <c r="C78" s="833"/>
      <c r="D78" s="833"/>
      <c r="E78" s="833"/>
    </row>
    <row r="79" spans="1:5" ht="11.25" customHeight="1" x14ac:dyDescent="0.25">
      <c r="A79" s="811" t="s">
        <v>1127</v>
      </c>
      <c r="B79" s="833"/>
      <c r="C79" s="833"/>
      <c r="D79" s="833"/>
      <c r="E79" s="833"/>
    </row>
    <row r="80" spans="1:5" ht="11.25" customHeight="1" x14ac:dyDescent="0.25">
      <c r="A80" s="811" t="s">
        <v>1079</v>
      </c>
      <c r="B80" s="562">
        <f>+B78-B79</f>
        <v>0</v>
      </c>
      <c r="C80" s="562">
        <f>+C78-C79</f>
        <v>0</v>
      </c>
      <c r="D80" s="562">
        <f>+D78-D79</f>
        <v>0</v>
      </c>
      <c r="E80" s="562">
        <f>+E78-E79</f>
        <v>0</v>
      </c>
    </row>
    <row r="81" spans="1:21" s="809" customFormat="1" ht="21" customHeight="1" x14ac:dyDescent="0.25">
      <c r="A81" s="807" t="s">
        <v>1128</v>
      </c>
      <c r="B81" s="1285" t="s">
        <v>1129</v>
      </c>
      <c r="C81" s="1285"/>
      <c r="D81" s="1285" t="s">
        <v>1130</v>
      </c>
      <c r="E81" s="1285"/>
    </row>
    <row r="82" spans="1:21" ht="11.25" customHeight="1" x14ac:dyDescent="0.25">
      <c r="A82" s="811" t="s">
        <v>1131</v>
      </c>
      <c r="B82" s="1175"/>
      <c r="C82" s="1175"/>
      <c r="D82" s="1175"/>
      <c r="E82" s="1175"/>
    </row>
    <row r="83" spans="1:21" ht="11.25" customHeight="1" x14ac:dyDescent="0.25">
      <c r="A83" s="816" t="s">
        <v>1132</v>
      </c>
      <c r="B83" s="1181"/>
      <c r="C83" s="1181"/>
      <c r="D83" s="1181"/>
      <c r="E83" s="1181"/>
    </row>
    <row r="84" spans="1:21" ht="11.25" customHeight="1" x14ac:dyDescent="0.25">
      <c r="A84" s="554"/>
      <c r="B84" s="554"/>
    </row>
    <row r="85" spans="1:21" ht="11.25" customHeight="1" x14ac:dyDescent="0.25">
      <c r="A85" s="1264" t="s">
        <v>1133</v>
      </c>
      <c r="B85" s="1294" t="s">
        <v>1103</v>
      </c>
      <c r="C85" s="1295" t="s">
        <v>1134</v>
      </c>
      <c r="D85" s="1295"/>
      <c r="E85" s="1295"/>
    </row>
    <row r="86" spans="1:21" ht="11.25" customHeight="1" x14ac:dyDescent="0.25">
      <c r="A86" s="1264"/>
      <c r="B86" s="1294"/>
      <c r="C86" s="1294" t="s">
        <v>1106</v>
      </c>
      <c r="D86" s="1285" t="s">
        <v>1107</v>
      </c>
      <c r="E86" s="1285"/>
    </row>
    <row r="87" spans="1:21" ht="11.25" customHeight="1" x14ac:dyDescent="0.25">
      <c r="A87" s="1264"/>
      <c r="B87" s="1294"/>
      <c r="C87" s="1294"/>
      <c r="D87" s="1285"/>
      <c r="E87" s="1285"/>
    </row>
    <row r="88" spans="1:21" ht="11.25" customHeight="1" x14ac:dyDescent="0.25">
      <c r="A88" s="836" t="s">
        <v>1135</v>
      </c>
      <c r="B88" s="848">
        <v>6298920.1299999999</v>
      </c>
      <c r="C88" s="849">
        <v>0.15</v>
      </c>
      <c r="D88" s="1299">
        <v>0.51129999999999998</v>
      </c>
      <c r="E88" s="1299"/>
    </row>
    <row r="89" spans="1:21" ht="11.25" customHeight="1" x14ac:dyDescent="0.25">
      <c r="A89" s="818"/>
      <c r="B89" s="818"/>
      <c r="C89" s="850"/>
      <c r="D89" s="818"/>
      <c r="E89" s="818"/>
    </row>
    <row r="90" spans="1:21" s="809" customFormat="1" ht="21.75" customHeight="1" x14ac:dyDescent="0.25">
      <c r="A90" s="851" t="s">
        <v>1136</v>
      </c>
      <c r="B90" s="1285" t="s">
        <v>1137</v>
      </c>
      <c r="C90" s="1285"/>
      <c r="D90" s="1285"/>
      <c r="E90" s="1285"/>
    </row>
    <row r="91" spans="1:21" ht="11.25" customHeight="1" x14ac:dyDescent="0.25">
      <c r="A91" s="852" t="s">
        <v>1138</v>
      </c>
      <c r="B91" s="1299"/>
      <c r="C91" s="1299"/>
      <c r="D91" s="1299"/>
      <c r="E91" s="1299"/>
    </row>
    <row r="92" spans="1:21" ht="25.5" customHeight="1" x14ac:dyDescent="0.25">
      <c r="A92" s="1300" t="s">
        <v>160</v>
      </c>
      <c r="B92" s="1300"/>
      <c r="C92" s="1300"/>
      <c r="D92" s="1300"/>
      <c r="E92" s="1300"/>
      <c r="F92" s="853"/>
      <c r="G92" s="853"/>
      <c r="H92" s="853"/>
      <c r="I92" s="853"/>
      <c r="J92" s="853"/>
      <c r="K92" s="853"/>
      <c r="L92" s="853"/>
      <c r="M92" s="853"/>
      <c r="N92" s="853"/>
      <c r="O92" s="853"/>
      <c r="P92" s="853"/>
      <c r="Q92" s="853"/>
      <c r="R92" s="853"/>
      <c r="S92" s="853"/>
      <c r="T92" s="853"/>
      <c r="U92" s="853"/>
    </row>
  </sheetData>
  <sheetProtection password="F3F6" sheet="1"/>
  <mergeCells count="70"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65:E65"/>
    <mergeCell ref="D66:E66"/>
    <mergeCell ref="D67:E67"/>
    <mergeCell ref="D68:E68"/>
    <mergeCell ref="B69:C69"/>
    <mergeCell ref="D69:E69"/>
    <mergeCell ref="D44:E44"/>
    <mergeCell ref="D45:E45"/>
    <mergeCell ref="A47:A48"/>
    <mergeCell ref="B47:B48"/>
    <mergeCell ref="B62:B64"/>
    <mergeCell ref="C62:E62"/>
    <mergeCell ref="C63:C64"/>
    <mergeCell ref="D63:E64"/>
    <mergeCell ref="B36:E36"/>
    <mergeCell ref="B37:E37"/>
    <mergeCell ref="B38:E38"/>
    <mergeCell ref="A40:A43"/>
    <mergeCell ref="D40:E42"/>
    <mergeCell ref="C41:C42"/>
    <mergeCell ref="D43:E43"/>
    <mergeCell ref="B30:E30"/>
    <mergeCell ref="B31:E31"/>
    <mergeCell ref="B32:E32"/>
    <mergeCell ref="B33:E33"/>
    <mergeCell ref="B34:E34"/>
    <mergeCell ref="B35:E35"/>
    <mergeCell ref="B23:E23"/>
    <mergeCell ref="B24:E24"/>
    <mergeCell ref="B25:E25"/>
    <mergeCell ref="B26:E26"/>
    <mergeCell ref="B27:E27"/>
    <mergeCell ref="B28:E28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A1:E1"/>
    <mergeCell ref="A3:E3"/>
    <mergeCell ref="A4:E4"/>
    <mergeCell ref="A5:E5"/>
    <mergeCell ref="A6:E6"/>
    <mergeCell ref="B9:E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topLeftCell="A121" zoomScale="140" zoomScaleNormal="140" workbookViewId="0">
      <selection activeCell="A137" sqref="A137"/>
    </sheetView>
  </sheetViews>
  <sheetFormatPr defaultColWidth="8.81640625" defaultRowHeight="11.25" customHeight="1" x14ac:dyDescent="0.3"/>
  <cols>
    <col min="1" max="1" width="59.7265625" style="18" customWidth="1"/>
    <col min="2" max="5" width="17.7265625" style="18" customWidth="1"/>
    <col min="6" max="6" width="17.81640625" style="18" customWidth="1"/>
    <col min="7" max="8" width="17.7265625" style="18" customWidth="1"/>
    <col min="9" max="9" width="17.81640625" style="18" customWidth="1"/>
    <col min="10" max="10" width="17.7265625" style="18" customWidth="1"/>
    <col min="11" max="11" width="12.7265625" style="18" customWidth="1"/>
    <col min="12" max="12" width="22.1796875" style="18" customWidth="1"/>
    <col min="13" max="13" width="41.7265625" style="18" customWidth="1"/>
    <col min="14" max="14" width="18.453125" style="18" customWidth="1"/>
    <col min="15" max="15" width="6.453125" style="18" customWidth="1"/>
    <col min="16" max="17" width="15.1796875" style="18" customWidth="1"/>
    <col min="18" max="18" width="21.7265625" style="18" customWidth="1"/>
    <col min="19" max="19" width="13.1796875" style="18" customWidth="1"/>
    <col min="20" max="16384" width="8.81640625" style="18"/>
  </cols>
  <sheetData>
    <row r="1" spans="1:13" ht="12.75" customHeight="1" x14ac:dyDescent="0.3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2.75" customHeight="1" x14ac:dyDescent="0.3">
      <c r="A2" s="2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 ht="11.25" customHeight="1" x14ac:dyDescent="0.3">
      <c r="A3" s="877" t="str">
        <f>+'Informações Iniciais'!A1</f>
        <v>ESTADO DO MARANHÃO - PREFEITURA MUNICIPAL DE DAVINOPOLIS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</row>
    <row r="4" spans="1:13" ht="11.25" customHeight="1" x14ac:dyDescent="0.3">
      <c r="A4" s="878" t="s">
        <v>1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20"/>
    </row>
    <row r="5" spans="1:13" ht="11.25" customHeight="1" x14ac:dyDescent="0.3">
      <c r="A5" s="879" t="s">
        <v>28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20"/>
    </row>
    <row r="6" spans="1:13" ht="14.65" customHeight="1" x14ac:dyDescent="0.3">
      <c r="A6" s="880" t="s">
        <v>29</v>
      </c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20"/>
    </row>
    <row r="7" spans="1:13" ht="11.25" customHeight="1" x14ac:dyDescent="0.3">
      <c r="A7" s="877" t="str">
        <f>+'Informações Iniciais'!A5</f>
        <v>5º Bimestre de 2018</v>
      </c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</row>
    <row r="8" spans="1:13" ht="11.25" customHeight="1" x14ac:dyDescent="0.3">
      <c r="A8" s="22"/>
      <c r="B8" s="22"/>
      <c r="C8" s="22"/>
      <c r="D8" s="22"/>
      <c r="E8" s="22"/>
      <c r="F8" s="22"/>
      <c r="G8" s="22"/>
      <c r="H8" s="23"/>
      <c r="I8" s="23"/>
      <c r="J8" s="24"/>
      <c r="K8" s="24"/>
      <c r="L8" s="20"/>
    </row>
    <row r="9" spans="1:13" ht="11.25" customHeight="1" x14ac:dyDescent="0.3">
      <c r="A9" s="25" t="s">
        <v>30</v>
      </c>
      <c r="B9" s="26"/>
      <c r="C9" s="26"/>
      <c r="D9" s="26"/>
      <c r="E9" s="27"/>
      <c r="F9" s="26"/>
      <c r="G9" s="26"/>
      <c r="H9" s="28"/>
      <c r="I9" s="24"/>
      <c r="J9" s="29"/>
      <c r="K9" s="20"/>
      <c r="L9" s="29" t="s">
        <v>31</v>
      </c>
    </row>
    <row r="10" spans="1:13" ht="11.25" customHeight="1" x14ac:dyDescent="0.3">
      <c r="A10" s="881" t="s">
        <v>32</v>
      </c>
      <c r="B10" s="882" t="s">
        <v>33</v>
      </c>
      <c r="C10" s="882"/>
      <c r="D10" s="883" t="s">
        <v>34</v>
      </c>
      <c r="E10" s="883"/>
      <c r="F10" s="884" t="s">
        <v>35</v>
      </c>
      <c r="G10" s="884"/>
      <c r="H10" s="884"/>
      <c r="I10" s="884"/>
      <c r="J10" s="884"/>
      <c r="K10" s="884"/>
      <c r="L10" s="885" t="s">
        <v>36</v>
      </c>
      <c r="M10" s="30"/>
    </row>
    <row r="11" spans="1:13" ht="12.75" customHeight="1" x14ac:dyDescent="0.3">
      <c r="A11" s="881"/>
      <c r="B11" s="882"/>
      <c r="C11" s="882"/>
      <c r="D11" s="883"/>
      <c r="E11" s="883"/>
      <c r="F11" s="886" t="s">
        <v>37</v>
      </c>
      <c r="G11" s="886"/>
      <c r="H11" s="32" t="s">
        <v>38</v>
      </c>
      <c r="I11" s="887" t="s">
        <v>39</v>
      </c>
      <c r="J11" s="887"/>
      <c r="K11" s="33" t="s">
        <v>38</v>
      </c>
      <c r="L11" s="885"/>
    </row>
    <row r="12" spans="1:13" ht="11.25" customHeight="1" x14ac:dyDescent="0.3">
      <c r="A12" s="881"/>
      <c r="B12" s="882"/>
      <c r="C12" s="882"/>
      <c r="D12" s="888" t="s">
        <v>40</v>
      </c>
      <c r="E12" s="888"/>
      <c r="F12" s="888" t="s">
        <v>41</v>
      </c>
      <c r="G12" s="888"/>
      <c r="H12" s="35" t="s">
        <v>42</v>
      </c>
      <c r="I12" s="888" t="s">
        <v>43</v>
      </c>
      <c r="J12" s="888"/>
      <c r="K12" s="36" t="s">
        <v>44</v>
      </c>
      <c r="L12" s="34" t="s">
        <v>45</v>
      </c>
    </row>
    <row r="13" spans="1:13" ht="12.75" customHeight="1" x14ac:dyDescent="0.3">
      <c r="A13" s="37" t="s">
        <v>46</v>
      </c>
      <c r="B13" s="889">
        <f>+B14+B54</f>
        <v>50250284.440000005</v>
      </c>
      <c r="C13" s="889"/>
      <c r="D13" s="889">
        <f>+D14+D54</f>
        <v>50250284.440000005</v>
      </c>
      <c r="E13" s="889"/>
      <c r="F13" s="889">
        <f>+F14+F54</f>
        <v>4655862.5999999996</v>
      </c>
      <c r="G13" s="889"/>
      <c r="H13" s="38">
        <f t="shared" ref="H13:H21" si="0">IF(D13="",0,IF(D13=0,0,+F13/D13))</f>
        <v>9.2653457624885818E-2</v>
      </c>
      <c r="I13" s="889">
        <f>+I14+I54</f>
        <v>26708104.670000002</v>
      </c>
      <c r="J13" s="889"/>
      <c r="K13" s="38">
        <f t="shared" ref="K13:K59" si="1">IF(D13="",0,IF(D13=0,0,I13/D13))</f>
        <v>0.53150156198399423</v>
      </c>
      <c r="L13" s="39">
        <f t="shared" ref="L13:L76" si="2">+D13-I13</f>
        <v>23542179.770000003</v>
      </c>
    </row>
    <row r="14" spans="1:13" ht="12.75" customHeight="1" x14ac:dyDescent="0.3">
      <c r="A14" s="40" t="s">
        <v>47</v>
      </c>
      <c r="B14" s="890">
        <f>+B15+B19+B24+B32+B33+B34+B40+B49</f>
        <v>55148922.100000001</v>
      </c>
      <c r="C14" s="890"/>
      <c r="D14" s="890">
        <f>+D15+D19+D24+D32+D33+D34+D40+D49</f>
        <v>55148922.100000001</v>
      </c>
      <c r="E14" s="890"/>
      <c r="F14" s="890">
        <f>+F15+F19+F24+F32+F33+F34+F40+F49</f>
        <v>4935569.79</v>
      </c>
      <c r="G14" s="890"/>
      <c r="H14" s="41">
        <f t="shared" si="0"/>
        <v>8.9495308377024463E-2</v>
      </c>
      <c r="I14" s="890">
        <f>+I15+I19+I24+I32+I33+I34+I40+I49</f>
        <v>28502379.040000003</v>
      </c>
      <c r="J14" s="890"/>
      <c r="K14" s="41">
        <f t="shared" si="1"/>
        <v>0.51682567772253885</v>
      </c>
      <c r="L14" s="42">
        <f t="shared" si="2"/>
        <v>26646543.059999999</v>
      </c>
    </row>
    <row r="15" spans="1:13" ht="12.75" customHeight="1" x14ac:dyDescent="0.3">
      <c r="A15" s="43" t="s">
        <v>48</v>
      </c>
      <c r="B15" s="891">
        <f>SUM(B16:C18)</f>
        <v>2269388.56</v>
      </c>
      <c r="C15" s="891"/>
      <c r="D15" s="891">
        <f>SUM(D16:E18)</f>
        <v>2269388.56</v>
      </c>
      <c r="E15" s="891"/>
      <c r="F15" s="891">
        <f>SUM(F16:G18)</f>
        <v>43450.13</v>
      </c>
      <c r="G15" s="891"/>
      <c r="H15" s="44">
        <f t="shared" si="0"/>
        <v>1.914618358700107E-2</v>
      </c>
      <c r="I15" s="891">
        <f>SUM(I16:J18)</f>
        <v>465931.64</v>
      </c>
      <c r="J15" s="891"/>
      <c r="K15" s="44">
        <f t="shared" si="1"/>
        <v>0.20531153113770875</v>
      </c>
      <c r="L15" s="45">
        <f t="shared" si="2"/>
        <v>1803456.92</v>
      </c>
    </row>
    <row r="16" spans="1:13" ht="12.75" customHeight="1" x14ac:dyDescent="0.3">
      <c r="A16" s="46" t="s">
        <v>49</v>
      </c>
      <c r="B16" s="892">
        <v>1032022.3</v>
      </c>
      <c r="C16" s="892"/>
      <c r="D16" s="892">
        <v>1032022.3</v>
      </c>
      <c r="E16" s="892"/>
      <c r="F16" s="892">
        <v>33538.959999999999</v>
      </c>
      <c r="G16" s="892"/>
      <c r="H16" s="47">
        <f t="shared" si="0"/>
        <v>3.249829000788064E-2</v>
      </c>
      <c r="I16" s="892">
        <v>284725.92</v>
      </c>
      <c r="J16" s="892"/>
      <c r="K16" s="47">
        <f t="shared" si="1"/>
        <v>0.27589124769881423</v>
      </c>
      <c r="L16" s="48">
        <f t="shared" si="2"/>
        <v>747296.38000000012</v>
      </c>
    </row>
    <row r="17" spans="1:12" ht="12.75" customHeight="1" x14ac:dyDescent="0.3">
      <c r="A17" s="46" t="s">
        <v>50</v>
      </c>
      <c r="B17" s="892">
        <v>55545.01</v>
      </c>
      <c r="C17" s="892"/>
      <c r="D17" s="892">
        <v>55545.01</v>
      </c>
      <c r="E17" s="892"/>
      <c r="F17" s="892">
        <v>70</v>
      </c>
      <c r="G17" s="892"/>
      <c r="H17" s="47">
        <f t="shared" si="0"/>
        <v>1.2602392186084762E-3</v>
      </c>
      <c r="I17" s="892">
        <v>1289.5</v>
      </c>
      <c r="J17" s="892"/>
      <c r="K17" s="47">
        <f t="shared" si="1"/>
        <v>2.3215406748509002E-2</v>
      </c>
      <c r="L17" s="48">
        <f t="shared" si="2"/>
        <v>54255.51</v>
      </c>
    </row>
    <row r="18" spans="1:12" ht="12.75" customHeight="1" x14ac:dyDescent="0.3">
      <c r="A18" s="46" t="s">
        <v>51</v>
      </c>
      <c r="B18" s="892">
        <v>1181821.25</v>
      </c>
      <c r="C18" s="892"/>
      <c r="D18" s="892">
        <v>1181821.25</v>
      </c>
      <c r="E18" s="892"/>
      <c r="F18" s="892">
        <v>9841.17</v>
      </c>
      <c r="G18" s="892"/>
      <c r="H18" s="47">
        <f t="shared" si="0"/>
        <v>8.3271222276634482E-3</v>
      </c>
      <c r="I18" s="892">
        <v>179916.22</v>
      </c>
      <c r="J18" s="892"/>
      <c r="K18" s="47">
        <f t="shared" si="1"/>
        <v>0.15223640630932977</v>
      </c>
      <c r="L18" s="48">
        <f t="shared" si="2"/>
        <v>1001905.03</v>
      </c>
    </row>
    <row r="19" spans="1:12" ht="12.75" customHeight="1" x14ac:dyDescent="0.3">
      <c r="A19" s="49" t="s">
        <v>52</v>
      </c>
      <c r="B19" s="891">
        <f>SUM(B20:C23)</f>
        <v>197323.41999999998</v>
      </c>
      <c r="C19" s="891"/>
      <c r="D19" s="891">
        <f>SUM(D20:E23)</f>
        <v>197323.41999999998</v>
      </c>
      <c r="E19" s="891"/>
      <c r="F19" s="891">
        <f>SUM(F20:G23)</f>
        <v>0</v>
      </c>
      <c r="G19" s="891"/>
      <c r="H19" s="44">
        <f t="shared" si="0"/>
        <v>0</v>
      </c>
      <c r="I19" s="891">
        <f>SUM(I20:J23)</f>
        <v>0</v>
      </c>
      <c r="J19" s="891"/>
      <c r="K19" s="44">
        <f t="shared" si="1"/>
        <v>0</v>
      </c>
      <c r="L19" s="45">
        <f t="shared" si="2"/>
        <v>197323.41999999998</v>
      </c>
    </row>
    <row r="20" spans="1:12" ht="12.75" customHeight="1" x14ac:dyDescent="0.3">
      <c r="A20" s="46" t="s">
        <v>53</v>
      </c>
      <c r="B20" s="892">
        <v>32010.92</v>
      </c>
      <c r="C20" s="892"/>
      <c r="D20" s="892">
        <v>32010.92</v>
      </c>
      <c r="E20" s="892"/>
      <c r="F20" s="892"/>
      <c r="G20" s="892"/>
      <c r="H20" s="47">
        <f t="shared" si="0"/>
        <v>0</v>
      </c>
      <c r="I20" s="892"/>
      <c r="J20" s="892"/>
      <c r="K20" s="47">
        <f t="shared" si="1"/>
        <v>0</v>
      </c>
      <c r="L20" s="48">
        <f t="shared" si="2"/>
        <v>32010.92</v>
      </c>
    </row>
    <row r="21" spans="1:12" ht="12.75" customHeight="1" x14ac:dyDescent="0.3">
      <c r="A21" s="46" t="s">
        <v>54</v>
      </c>
      <c r="B21" s="892"/>
      <c r="C21" s="892"/>
      <c r="D21" s="892"/>
      <c r="E21" s="892"/>
      <c r="F21" s="892"/>
      <c r="G21" s="892"/>
      <c r="H21" s="47">
        <f t="shared" si="0"/>
        <v>0</v>
      </c>
      <c r="I21" s="892"/>
      <c r="J21" s="892"/>
      <c r="K21" s="47">
        <f t="shared" si="1"/>
        <v>0</v>
      </c>
      <c r="L21" s="48">
        <f t="shared" si="2"/>
        <v>0</v>
      </c>
    </row>
    <row r="22" spans="1:12" ht="25.75" customHeight="1" x14ac:dyDescent="0.3">
      <c r="A22" s="50" t="s">
        <v>55</v>
      </c>
      <c r="B22" s="859"/>
      <c r="C22" s="859"/>
      <c r="D22" s="892"/>
      <c r="E22" s="892"/>
      <c r="F22" s="892"/>
      <c r="G22" s="892"/>
      <c r="H22" s="47"/>
      <c r="I22" s="892"/>
      <c r="J22" s="892"/>
      <c r="K22" s="47">
        <f t="shared" si="1"/>
        <v>0</v>
      </c>
      <c r="L22" s="48">
        <f t="shared" si="2"/>
        <v>0</v>
      </c>
    </row>
    <row r="23" spans="1:12" ht="24.65" customHeight="1" x14ac:dyDescent="0.3">
      <c r="A23" s="51" t="s">
        <v>56</v>
      </c>
      <c r="B23" s="892">
        <v>165312.5</v>
      </c>
      <c r="C23" s="892"/>
      <c r="D23" s="892">
        <v>165312.5</v>
      </c>
      <c r="E23" s="892"/>
      <c r="F23" s="892"/>
      <c r="G23" s="892"/>
      <c r="H23" s="47">
        <f t="shared" ref="H23:H31" si="3">IF(D23="",0,IF(D23=0,0,+F23/D23))</f>
        <v>0</v>
      </c>
      <c r="I23" s="892"/>
      <c r="J23" s="892"/>
      <c r="K23" s="47">
        <f t="shared" si="1"/>
        <v>0</v>
      </c>
      <c r="L23" s="48">
        <f t="shared" si="2"/>
        <v>165312.5</v>
      </c>
    </row>
    <row r="24" spans="1:12" ht="12.75" customHeight="1" x14ac:dyDescent="0.3">
      <c r="A24" s="49" t="s">
        <v>57</v>
      </c>
      <c r="B24" s="891">
        <f>SUM(B25:C31)</f>
        <v>258984.77000000002</v>
      </c>
      <c r="C24" s="891"/>
      <c r="D24" s="891">
        <f>SUM(D25:E31)</f>
        <v>258984.77000000002</v>
      </c>
      <c r="E24" s="891"/>
      <c r="F24" s="891">
        <f>SUM(F25:G31)</f>
        <v>9596.09</v>
      </c>
      <c r="G24" s="891"/>
      <c r="H24" s="44">
        <f t="shared" si="3"/>
        <v>3.7052719354887159E-2</v>
      </c>
      <c r="I24" s="891">
        <f>SUM(I25:J31)</f>
        <v>40166.43</v>
      </c>
      <c r="J24" s="891"/>
      <c r="K24" s="44">
        <f t="shared" si="1"/>
        <v>0.15509186119322768</v>
      </c>
      <c r="L24" s="45">
        <f t="shared" si="2"/>
        <v>218818.34000000003</v>
      </c>
    </row>
    <row r="25" spans="1:12" ht="12.75" customHeight="1" x14ac:dyDescent="0.3">
      <c r="A25" s="46" t="s">
        <v>58</v>
      </c>
      <c r="B25" s="892">
        <v>170959.69</v>
      </c>
      <c r="C25" s="892"/>
      <c r="D25" s="892">
        <v>170959.69</v>
      </c>
      <c r="E25" s="892"/>
      <c r="F25" s="892"/>
      <c r="G25" s="892"/>
      <c r="H25" s="47">
        <f t="shared" si="3"/>
        <v>0</v>
      </c>
      <c r="I25" s="892"/>
      <c r="J25" s="892"/>
      <c r="K25" s="47">
        <f t="shared" si="1"/>
        <v>0</v>
      </c>
      <c r="L25" s="48">
        <f t="shared" si="2"/>
        <v>170959.69</v>
      </c>
    </row>
    <row r="26" spans="1:12" ht="12.75" customHeight="1" x14ac:dyDescent="0.3">
      <c r="A26" s="46" t="s">
        <v>59</v>
      </c>
      <c r="B26" s="892">
        <v>88025.08</v>
      </c>
      <c r="C26" s="892"/>
      <c r="D26" s="892">
        <v>88025.08</v>
      </c>
      <c r="E26" s="892"/>
      <c r="F26" s="892">
        <v>9596.09</v>
      </c>
      <c r="G26" s="892"/>
      <c r="H26" s="47">
        <f t="shared" si="3"/>
        <v>0.10901540788148105</v>
      </c>
      <c r="I26" s="892">
        <v>40166.43</v>
      </c>
      <c r="J26" s="892"/>
      <c r="K26" s="47">
        <f t="shared" si="1"/>
        <v>0.45630665714816732</v>
      </c>
      <c r="L26" s="48">
        <f t="shared" si="2"/>
        <v>47858.65</v>
      </c>
    </row>
    <row r="27" spans="1:12" ht="25.75" customHeight="1" x14ac:dyDescent="0.3">
      <c r="A27" s="51" t="s">
        <v>60</v>
      </c>
      <c r="B27" s="892"/>
      <c r="C27" s="892"/>
      <c r="D27" s="892"/>
      <c r="E27" s="892"/>
      <c r="F27" s="892"/>
      <c r="G27" s="892"/>
      <c r="H27" s="47">
        <f t="shared" si="3"/>
        <v>0</v>
      </c>
      <c r="I27" s="892"/>
      <c r="J27" s="892"/>
      <c r="K27" s="47">
        <f t="shared" si="1"/>
        <v>0</v>
      </c>
      <c r="L27" s="48">
        <f t="shared" si="2"/>
        <v>0</v>
      </c>
    </row>
    <row r="28" spans="1:12" ht="12.75" customHeight="1" x14ac:dyDescent="0.3">
      <c r="A28" s="46" t="s">
        <v>61</v>
      </c>
      <c r="B28" s="892"/>
      <c r="C28" s="892"/>
      <c r="D28" s="892"/>
      <c r="E28" s="892"/>
      <c r="F28" s="892"/>
      <c r="G28" s="892"/>
      <c r="H28" s="47">
        <f t="shared" si="3"/>
        <v>0</v>
      </c>
      <c r="I28" s="892"/>
      <c r="J28" s="892"/>
      <c r="K28" s="47">
        <f t="shared" si="1"/>
        <v>0</v>
      </c>
      <c r="L28" s="48">
        <f t="shared" si="2"/>
        <v>0</v>
      </c>
    </row>
    <row r="29" spans="1:12" ht="13" x14ac:dyDescent="0.3">
      <c r="A29" s="52" t="s">
        <v>62</v>
      </c>
      <c r="B29" s="893"/>
      <c r="C29" s="893"/>
      <c r="D29" s="893"/>
      <c r="E29" s="893"/>
      <c r="F29" s="893"/>
      <c r="G29" s="893"/>
      <c r="H29" s="54">
        <f t="shared" si="3"/>
        <v>0</v>
      </c>
      <c r="I29" s="893"/>
      <c r="J29" s="893"/>
      <c r="K29" s="54">
        <f t="shared" si="1"/>
        <v>0</v>
      </c>
      <c r="L29" s="55">
        <f t="shared" si="2"/>
        <v>0</v>
      </c>
    </row>
    <row r="30" spans="1:12" ht="12.75" customHeight="1" x14ac:dyDescent="0.3">
      <c r="A30" s="51" t="s">
        <v>63</v>
      </c>
      <c r="B30" s="892"/>
      <c r="C30" s="892"/>
      <c r="D30" s="892"/>
      <c r="E30" s="892"/>
      <c r="F30" s="892"/>
      <c r="G30" s="892"/>
      <c r="H30" s="47">
        <f t="shared" si="3"/>
        <v>0</v>
      </c>
      <c r="I30" s="892"/>
      <c r="J30" s="892"/>
      <c r="K30" s="47">
        <f t="shared" si="1"/>
        <v>0</v>
      </c>
      <c r="L30" s="48">
        <f t="shared" si="2"/>
        <v>0</v>
      </c>
    </row>
    <row r="31" spans="1:12" ht="12.75" customHeight="1" x14ac:dyDescent="0.3">
      <c r="A31" s="46" t="s">
        <v>64</v>
      </c>
      <c r="B31" s="892"/>
      <c r="C31" s="892"/>
      <c r="D31" s="892"/>
      <c r="E31" s="892"/>
      <c r="F31" s="892"/>
      <c r="G31" s="892"/>
      <c r="H31" s="47">
        <f t="shared" si="3"/>
        <v>0</v>
      </c>
      <c r="I31" s="892"/>
      <c r="J31" s="892"/>
      <c r="K31" s="47">
        <f t="shared" si="1"/>
        <v>0</v>
      </c>
      <c r="L31" s="48">
        <f t="shared" si="2"/>
        <v>0</v>
      </c>
    </row>
    <row r="32" spans="1:12" ht="12.75" customHeight="1" x14ac:dyDescent="0.3">
      <c r="A32" s="49" t="s">
        <v>65</v>
      </c>
      <c r="B32" s="891">
        <v>0</v>
      </c>
      <c r="C32" s="891"/>
      <c r="D32" s="891">
        <v>0</v>
      </c>
      <c r="E32" s="891"/>
      <c r="F32" s="891">
        <v>0</v>
      </c>
      <c r="G32" s="891"/>
      <c r="H32" s="44">
        <v>0</v>
      </c>
      <c r="I32" s="891">
        <v>0</v>
      </c>
      <c r="J32" s="891"/>
      <c r="K32" s="56">
        <f t="shared" si="1"/>
        <v>0</v>
      </c>
      <c r="L32" s="57">
        <f t="shared" si="2"/>
        <v>0</v>
      </c>
    </row>
    <row r="33" spans="1:12" ht="12.75" customHeight="1" x14ac:dyDescent="0.3">
      <c r="A33" s="49" t="s">
        <v>66</v>
      </c>
      <c r="B33" s="891">
        <v>0</v>
      </c>
      <c r="C33" s="891"/>
      <c r="D33" s="891">
        <v>0</v>
      </c>
      <c r="E33" s="891"/>
      <c r="F33" s="891">
        <v>0</v>
      </c>
      <c r="G33" s="891"/>
      <c r="H33" s="44">
        <v>0</v>
      </c>
      <c r="I33" s="891">
        <v>0</v>
      </c>
      <c r="J33" s="891"/>
      <c r="K33" s="56">
        <f t="shared" si="1"/>
        <v>0</v>
      </c>
      <c r="L33" s="57">
        <f t="shared" si="2"/>
        <v>0</v>
      </c>
    </row>
    <row r="34" spans="1:12" ht="12.75" customHeight="1" x14ac:dyDescent="0.3">
      <c r="A34" s="49" t="s">
        <v>67</v>
      </c>
      <c r="B34" s="894">
        <f>SUM(B35:B39)</f>
        <v>19391.16</v>
      </c>
      <c r="C34" s="894"/>
      <c r="D34" s="894">
        <f>SUM(D35:D39)</f>
        <v>19391.16</v>
      </c>
      <c r="E34" s="894"/>
      <c r="F34" s="894">
        <f>SUM(F35:F39)</f>
        <v>0</v>
      </c>
      <c r="G34" s="894"/>
      <c r="H34" s="44">
        <f>IF(D34="",0,IF(D34=0,0,+F34/D34))</f>
        <v>0</v>
      </c>
      <c r="I34" s="894">
        <v>0</v>
      </c>
      <c r="J34" s="894"/>
      <c r="K34" s="44">
        <f t="shared" si="1"/>
        <v>0</v>
      </c>
      <c r="L34" s="57">
        <f t="shared" si="2"/>
        <v>19391.16</v>
      </c>
    </row>
    <row r="35" spans="1:12" ht="12.75" customHeight="1" x14ac:dyDescent="0.3">
      <c r="A35" s="46" t="s">
        <v>68</v>
      </c>
      <c r="B35" s="892"/>
      <c r="C35" s="892"/>
      <c r="D35" s="892"/>
      <c r="E35" s="892"/>
      <c r="F35" s="892"/>
      <c r="G35" s="892"/>
      <c r="H35" s="58"/>
      <c r="I35" s="892"/>
      <c r="J35" s="892"/>
      <c r="K35" s="58">
        <f t="shared" si="1"/>
        <v>0</v>
      </c>
      <c r="L35" s="59">
        <f t="shared" si="2"/>
        <v>0</v>
      </c>
    </row>
    <row r="36" spans="1:12" ht="12.75" customHeight="1" x14ac:dyDescent="0.3">
      <c r="A36" s="46" t="s">
        <v>69</v>
      </c>
      <c r="B36" s="892">
        <v>0</v>
      </c>
      <c r="C36" s="892"/>
      <c r="D36" s="892"/>
      <c r="E36" s="892"/>
      <c r="F36" s="892"/>
      <c r="G36" s="892"/>
      <c r="H36" s="58"/>
      <c r="I36" s="892"/>
      <c r="J36" s="892"/>
      <c r="K36" s="58">
        <f t="shared" si="1"/>
        <v>0</v>
      </c>
      <c r="L36" s="59">
        <f t="shared" si="2"/>
        <v>0</v>
      </c>
    </row>
    <row r="37" spans="1:12" ht="12.75" customHeight="1" x14ac:dyDescent="0.3">
      <c r="A37" s="46" t="s">
        <v>70</v>
      </c>
      <c r="B37" s="892"/>
      <c r="C37" s="892"/>
      <c r="D37" s="892"/>
      <c r="E37" s="892"/>
      <c r="F37" s="892"/>
      <c r="G37" s="892"/>
      <c r="H37" s="58"/>
      <c r="I37" s="892"/>
      <c r="J37" s="892"/>
      <c r="K37" s="58">
        <f t="shared" si="1"/>
        <v>0</v>
      </c>
      <c r="L37" s="59">
        <f t="shared" si="2"/>
        <v>0</v>
      </c>
    </row>
    <row r="38" spans="1:12" ht="12.75" customHeight="1" x14ac:dyDescent="0.3">
      <c r="A38" s="46" t="s">
        <v>71</v>
      </c>
      <c r="B38" s="892"/>
      <c r="C38" s="892"/>
      <c r="D38" s="892"/>
      <c r="E38" s="892"/>
      <c r="F38" s="892"/>
      <c r="G38" s="892"/>
      <c r="H38" s="58"/>
      <c r="I38" s="892"/>
      <c r="J38" s="892"/>
      <c r="K38" s="58">
        <f t="shared" si="1"/>
        <v>0</v>
      </c>
      <c r="L38" s="59">
        <f t="shared" si="2"/>
        <v>0</v>
      </c>
    </row>
    <row r="39" spans="1:12" ht="12.75" customHeight="1" x14ac:dyDescent="0.3">
      <c r="A39" s="46" t="s">
        <v>72</v>
      </c>
      <c r="B39" s="892">
        <v>19391.16</v>
      </c>
      <c r="C39" s="892"/>
      <c r="D39" s="892">
        <v>19391.16</v>
      </c>
      <c r="E39" s="892"/>
      <c r="F39" s="892"/>
      <c r="G39" s="892"/>
      <c r="H39" s="58"/>
      <c r="I39" s="892"/>
      <c r="J39" s="892"/>
      <c r="K39" s="58">
        <f t="shared" si="1"/>
        <v>0</v>
      </c>
      <c r="L39" s="59">
        <f t="shared" si="2"/>
        <v>19391.16</v>
      </c>
    </row>
    <row r="40" spans="1:12" ht="12.75" customHeight="1" x14ac:dyDescent="0.3">
      <c r="A40" s="49" t="s">
        <v>73</v>
      </c>
      <c r="B40" s="891">
        <f>SUM(B41:C48)</f>
        <v>52380070.509999998</v>
      </c>
      <c r="C40" s="891"/>
      <c r="D40" s="891">
        <f>SUM(D41:E48)</f>
        <v>52380070.509999998</v>
      </c>
      <c r="E40" s="891"/>
      <c r="F40" s="891">
        <f>SUM(F41:G48)</f>
        <v>4882523.57</v>
      </c>
      <c r="G40" s="891"/>
      <c r="H40" s="44">
        <f t="shared" ref="H40:H45" si="4">IF(D40="",0,IF(D40=0,0,+F40/D40))</f>
        <v>9.3213382923336585E-2</v>
      </c>
      <c r="I40" s="891">
        <f>SUM(I41:J48)</f>
        <v>27996280.970000003</v>
      </c>
      <c r="J40" s="891"/>
      <c r="K40" s="44">
        <f t="shared" si="1"/>
        <v>0.53448345329461078</v>
      </c>
      <c r="L40" s="45">
        <f t="shared" si="2"/>
        <v>24383789.539999995</v>
      </c>
    </row>
    <row r="41" spans="1:12" ht="12.75" customHeight="1" x14ac:dyDescent="0.3">
      <c r="A41" s="46" t="s">
        <v>74</v>
      </c>
      <c r="B41" s="892">
        <v>31944503.34</v>
      </c>
      <c r="C41" s="892"/>
      <c r="D41" s="892">
        <v>31944503.34</v>
      </c>
      <c r="E41" s="892"/>
      <c r="F41" s="892">
        <v>1803051.98</v>
      </c>
      <c r="G41" s="892"/>
      <c r="H41" s="47">
        <f t="shared" si="4"/>
        <v>5.6443262266728356E-2</v>
      </c>
      <c r="I41" s="892">
        <v>12006673.550000001</v>
      </c>
      <c r="J41" s="892"/>
      <c r="K41" s="47">
        <f t="shared" si="1"/>
        <v>0.37586039207457594</v>
      </c>
      <c r="L41" s="48">
        <f t="shared" si="2"/>
        <v>19937829.789999999</v>
      </c>
    </row>
    <row r="42" spans="1:12" ht="24.65" customHeight="1" x14ac:dyDescent="0.3">
      <c r="A42" s="51" t="s">
        <v>75</v>
      </c>
      <c r="B42" s="892">
        <v>3087621.56</v>
      </c>
      <c r="C42" s="892"/>
      <c r="D42" s="892">
        <v>3087621.56</v>
      </c>
      <c r="E42" s="892"/>
      <c r="F42" s="892">
        <v>1440311.89</v>
      </c>
      <c r="G42" s="892"/>
      <c r="H42" s="47">
        <f t="shared" si="4"/>
        <v>0.46647941206888055</v>
      </c>
      <c r="I42" s="892">
        <v>6636754.8700000001</v>
      </c>
      <c r="J42" s="892"/>
      <c r="K42" s="47">
        <f t="shared" si="1"/>
        <v>2.1494716049333453</v>
      </c>
      <c r="L42" s="48">
        <f t="shared" si="2"/>
        <v>-3549133.31</v>
      </c>
    </row>
    <row r="43" spans="1:12" ht="12.75" customHeight="1" x14ac:dyDescent="0.3">
      <c r="A43" s="46" t="s">
        <v>76</v>
      </c>
      <c r="B43" s="892">
        <v>590032.29</v>
      </c>
      <c r="C43" s="892"/>
      <c r="D43" s="892">
        <v>590032.29</v>
      </c>
      <c r="E43" s="892"/>
      <c r="F43" s="892"/>
      <c r="G43" s="892"/>
      <c r="H43" s="47">
        <f t="shared" si="4"/>
        <v>0</v>
      </c>
      <c r="I43" s="892"/>
      <c r="J43" s="892"/>
      <c r="K43" s="47">
        <f t="shared" si="1"/>
        <v>0</v>
      </c>
      <c r="L43" s="48">
        <f t="shared" si="2"/>
        <v>590032.29</v>
      </c>
    </row>
    <row r="44" spans="1:12" ht="12.75" customHeight="1" x14ac:dyDescent="0.3">
      <c r="A44" s="46" t="s">
        <v>77</v>
      </c>
      <c r="B44" s="892"/>
      <c r="C44" s="892"/>
      <c r="D44" s="892"/>
      <c r="E44" s="892"/>
      <c r="F44" s="892"/>
      <c r="G44" s="892"/>
      <c r="H44" s="47">
        <f t="shared" si="4"/>
        <v>0</v>
      </c>
      <c r="I44" s="892"/>
      <c r="J44" s="892"/>
      <c r="K44" s="47">
        <f t="shared" si="1"/>
        <v>0</v>
      </c>
      <c r="L44" s="48">
        <f t="shared" si="2"/>
        <v>0</v>
      </c>
    </row>
    <row r="45" spans="1:12" ht="12.75" customHeight="1" x14ac:dyDescent="0.3">
      <c r="A45" s="46" t="s">
        <v>78</v>
      </c>
      <c r="B45" s="892">
        <v>16757913.32</v>
      </c>
      <c r="C45" s="892"/>
      <c r="D45" s="892">
        <v>16757913.32</v>
      </c>
      <c r="E45" s="892"/>
      <c r="F45" s="892">
        <v>1639159.7</v>
      </c>
      <c r="G45" s="892"/>
      <c r="H45" s="47">
        <f t="shared" si="4"/>
        <v>9.7814069609950691E-2</v>
      </c>
      <c r="I45" s="892">
        <v>9352852.5500000007</v>
      </c>
      <c r="J45" s="892"/>
      <c r="K45" s="47">
        <f t="shared" si="1"/>
        <v>0.55811558225675317</v>
      </c>
      <c r="L45" s="48">
        <f t="shared" si="2"/>
        <v>7405060.7699999996</v>
      </c>
    </row>
    <row r="46" spans="1:12" ht="12.75" customHeight="1" x14ac:dyDescent="0.3">
      <c r="A46" s="46" t="s">
        <v>79</v>
      </c>
      <c r="B46" s="892"/>
      <c r="C46" s="892"/>
      <c r="D46" s="892"/>
      <c r="E46" s="892"/>
      <c r="F46" s="892"/>
      <c r="G46" s="892"/>
      <c r="H46" s="47">
        <v>0</v>
      </c>
      <c r="I46" s="892"/>
      <c r="J46" s="892"/>
      <c r="K46" s="47">
        <f t="shared" si="1"/>
        <v>0</v>
      </c>
      <c r="L46" s="48">
        <f t="shared" si="2"/>
        <v>0</v>
      </c>
    </row>
    <row r="47" spans="1:12" ht="12.75" customHeight="1" x14ac:dyDescent="0.3">
      <c r="A47" s="46" t="s">
        <v>80</v>
      </c>
      <c r="B47" s="892"/>
      <c r="C47" s="892"/>
      <c r="D47" s="892"/>
      <c r="E47" s="892"/>
      <c r="F47" s="892"/>
      <c r="G47" s="892"/>
      <c r="H47" s="47">
        <v>0</v>
      </c>
      <c r="I47" s="892"/>
      <c r="J47" s="892"/>
      <c r="K47" s="47">
        <f t="shared" si="1"/>
        <v>0</v>
      </c>
      <c r="L47" s="48">
        <f t="shared" si="2"/>
        <v>0</v>
      </c>
    </row>
    <row r="48" spans="1:12" ht="12.75" customHeight="1" x14ac:dyDescent="0.3">
      <c r="A48" s="60" t="s">
        <v>81</v>
      </c>
      <c r="B48" s="892"/>
      <c r="C48" s="892"/>
      <c r="D48" s="892"/>
      <c r="E48" s="892"/>
      <c r="F48" s="892"/>
      <c r="G48" s="892"/>
      <c r="H48" s="47">
        <f t="shared" ref="H48:H59" si="5">IF(D48="",0,IF(D48=0,0,+F48/D48))</f>
        <v>0</v>
      </c>
      <c r="I48" s="892"/>
      <c r="J48" s="892"/>
      <c r="K48" s="47">
        <f t="shared" si="1"/>
        <v>0</v>
      </c>
      <c r="L48" s="48">
        <f t="shared" si="2"/>
        <v>0</v>
      </c>
    </row>
    <row r="49" spans="1:12" ht="12.75" customHeight="1" x14ac:dyDescent="0.3">
      <c r="A49" s="49" t="s">
        <v>82</v>
      </c>
      <c r="B49" s="891">
        <f>SUM(B50:C53)</f>
        <v>23763.68</v>
      </c>
      <c r="C49" s="891"/>
      <c r="D49" s="891">
        <f>SUM(D50:E53)</f>
        <v>23763.68</v>
      </c>
      <c r="E49" s="891"/>
      <c r="F49" s="891">
        <f>SUM(F50:G53)</f>
        <v>0</v>
      </c>
      <c r="G49" s="891"/>
      <c r="H49" s="44">
        <f t="shared" si="5"/>
        <v>0</v>
      </c>
      <c r="I49" s="891">
        <f>SUM(I50:J53)</f>
        <v>0</v>
      </c>
      <c r="J49" s="891"/>
      <c r="K49" s="44">
        <f t="shared" si="1"/>
        <v>0</v>
      </c>
      <c r="L49" s="45">
        <f t="shared" si="2"/>
        <v>23763.68</v>
      </c>
    </row>
    <row r="50" spans="1:12" ht="12.75" customHeight="1" x14ac:dyDescent="0.3">
      <c r="A50" s="46" t="s">
        <v>83</v>
      </c>
      <c r="B50" s="892"/>
      <c r="C50" s="892"/>
      <c r="D50" s="892"/>
      <c r="E50" s="892"/>
      <c r="F50" s="892"/>
      <c r="G50" s="892"/>
      <c r="H50" s="47">
        <f t="shared" si="5"/>
        <v>0</v>
      </c>
      <c r="I50" s="892"/>
      <c r="J50" s="892"/>
      <c r="K50" s="47">
        <f t="shared" si="1"/>
        <v>0</v>
      </c>
      <c r="L50" s="48">
        <f t="shared" si="2"/>
        <v>0</v>
      </c>
    </row>
    <row r="51" spans="1:12" ht="12.75" customHeight="1" x14ac:dyDescent="0.3">
      <c r="A51" s="46" t="s">
        <v>84</v>
      </c>
      <c r="B51" s="892">
        <v>23763.68</v>
      </c>
      <c r="C51" s="892"/>
      <c r="D51" s="892">
        <v>23763.68</v>
      </c>
      <c r="E51" s="892"/>
      <c r="F51" s="892"/>
      <c r="G51" s="892"/>
      <c r="H51" s="47">
        <f t="shared" si="5"/>
        <v>0</v>
      </c>
      <c r="I51" s="892"/>
      <c r="J51" s="892"/>
      <c r="K51" s="47">
        <f t="shared" si="1"/>
        <v>0</v>
      </c>
      <c r="L51" s="48">
        <f t="shared" si="2"/>
        <v>23763.68</v>
      </c>
    </row>
    <row r="52" spans="1:12" ht="14.65" customHeight="1" x14ac:dyDescent="0.3">
      <c r="A52" s="46" t="s">
        <v>85</v>
      </c>
      <c r="B52" s="892"/>
      <c r="C52" s="892"/>
      <c r="D52" s="892"/>
      <c r="E52" s="892"/>
      <c r="F52" s="892"/>
      <c r="G52" s="892"/>
      <c r="H52" s="47">
        <f t="shared" si="5"/>
        <v>0</v>
      </c>
      <c r="I52" s="892"/>
      <c r="J52" s="892"/>
      <c r="K52" s="47">
        <f t="shared" si="1"/>
        <v>0</v>
      </c>
      <c r="L52" s="48">
        <f t="shared" si="2"/>
        <v>0</v>
      </c>
    </row>
    <row r="53" spans="1:12" ht="14.65" customHeight="1" x14ac:dyDescent="0.3">
      <c r="A53" s="52" t="s">
        <v>86</v>
      </c>
      <c r="B53" s="893"/>
      <c r="C53" s="893"/>
      <c r="D53" s="893"/>
      <c r="E53" s="893"/>
      <c r="F53" s="893"/>
      <c r="G53" s="893"/>
      <c r="H53" s="54">
        <f t="shared" si="5"/>
        <v>0</v>
      </c>
      <c r="I53" s="893"/>
      <c r="J53" s="893"/>
      <c r="K53" s="54">
        <f t="shared" si="1"/>
        <v>0</v>
      </c>
      <c r="L53" s="55">
        <f t="shared" si="2"/>
        <v>0</v>
      </c>
    </row>
    <row r="54" spans="1:12" ht="12.75" customHeight="1" x14ac:dyDescent="0.3">
      <c r="A54" s="40" t="s">
        <v>87</v>
      </c>
      <c r="B54" s="890">
        <f>+B55+B58+B62+B63+B72</f>
        <v>-4898637.6599999983</v>
      </c>
      <c r="C54" s="890"/>
      <c r="D54" s="890">
        <f>+D55+D58+D62+D63+D72</f>
        <v>-4898637.6599999983</v>
      </c>
      <c r="E54" s="890"/>
      <c r="F54" s="890">
        <f>+F55+F58+F62+F63+F72</f>
        <v>-279707.19</v>
      </c>
      <c r="G54" s="890"/>
      <c r="H54" s="41">
        <f t="shared" si="5"/>
        <v>5.7098975146490032E-2</v>
      </c>
      <c r="I54" s="890">
        <f>+I55+I58+I62+I63+I72</f>
        <v>-1794274.37</v>
      </c>
      <c r="J54" s="890"/>
      <c r="K54" s="41">
        <f t="shared" si="1"/>
        <v>0.36628027923992257</v>
      </c>
      <c r="L54" s="42">
        <f t="shared" si="2"/>
        <v>-3104363.2899999982</v>
      </c>
    </row>
    <row r="55" spans="1:12" ht="12.75" customHeight="1" x14ac:dyDescent="0.3">
      <c r="A55" s="49" t="s">
        <v>88</v>
      </c>
      <c r="B55" s="891">
        <f>SUM(B56:C57)</f>
        <v>0</v>
      </c>
      <c r="C55" s="891"/>
      <c r="D55" s="891">
        <f>SUM(D56:E57)</f>
        <v>0</v>
      </c>
      <c r="E55" s="891"/>
      <c r="F55" s="891">
        <f>SUM(F56:G57)</f>
        <v>0</v>
      </c>
      <c r="G55" s="891"/>
      <c r="H55" s="44">
        <f t="shared" si="5"/>
        <v>0</v>
      </c>
      <c r="I55" s="891">
        <f>SUM(I56:J57)</f>
        <v>0</v>
      </c>
      <c r="J55" s="891"/>
      <c r="K55" s="44">
        <f t="shared" si="1"/>
        <v>0</v>
      </c>
      <c r="L55" s="45">
        <f t="shared" si="2"/>
        <v>0</v>
      </c>
    </row>
    <row r="56" spans="1:12" ht="12.75" customHeight="1" x14ac:dyDescent="0.3">
      <c r="A56" s="46" t="s">
        <v>89</v>
      </c>
      <c r="B56" s="892"/>
      <c r="C56" s="892"/>
      <c r="D56" s="892"/>
      <c r="E56" s="892"/>
      <c r="F56" s="892"/>
      <c r="G56" s="892"/>
      <c r="H56" s="47">
        <f t="shared" si="5"/>
        <v>0</v>
      </c>
      <c r="I56" s="892"/>
      <c r="J56" s="892"/>
      <c r="K56" s="47">
        <f t="shared" si="1"/>
        <v>0</v>
      </c>
      <c r="L56" s="48">
        <f t="shared" si="2"/>
        <v>0</v>
      </c>
    </row>
    <row r="57" spans="1:12" ht="12.75" customHeight="1" x14ac:dyDescent="0.3">
      <c r="A57" s="46" t="s">
        <v>90</v>
      </c>
      <c r="B57" s="892"/>
      <c r="C57" s="892"/>
      <c r="D57" s="892"/>
      <c r="E57" s="892"/>
      <c r="F57" s="892"/>
      <c r="G57" s="892"/>
      <c r="H57" s="47">
        <f t="shared" si="5"/>
        <v>0</v>
      </c>
      <c r="I57" s="892"/>
      <c r="J57" s="892"/>
      <c r="K57" s="47">
        <f t="shared" si="1"/>
        <v>0</v>
      </c>
      <c r="L57" s="48">
        <f t="shared" si="2"/>
        <v>0</v>
      </c>
    </row>
    <row r="58" spans="1:12" ht="12.75" customHeight="1" x14ac:dyDescent="0.3">
      <c r="A58" s="49" t="s">
        <v>91</v>
      </c>
      <c r="B58" s="891">
        <f>SUM(B59:C61)</f>
        <v>0</v>
      </c>
      <c r="C58" s="891"/>
      <c r="D58" s="891">
        <f>SUM(D59:E61)</f>
        <v>0</v>
      </c>
      <c r="E58" s="891"/>
      <c r="F58" s="891">
        <f>SUM(F59:G61)</f>
        <v>0</v>
      </c>
      <c r="G58" s="891"/>
      <c r="H58" s="44">
        <f t="shared" si="5"/>
        <v>0</v>
      </c>
      <c r="I58" s="891">
        <f>SUM(I59:J61)</f>
        <v>0</v>
      </c>
      <c r="J58" s="891"/>
      <c r="K58" s="44">
        <f t="shared" si="1"/>
        <v>0</v>
      </c>
      <c r="L58" s="45">
        <f t="shared" si="2"/>
        <v>0</v>
      </c>
    </row>
    <row r="59" spans="1:12" ht="12.75" customHeight="1" x14ac:dyDescent="0.3">
      <c r="A59" s="46" t="s">
        <v>92</v>
      </c>
      <c r="B59" s="892"/>
      <c r="C59" s="892"/>
      <c r="D59" s="892"/>
      <c r="E59" s="892"/>
      <c r="F59" s="892"/>
      <c r="G59" s="892"/>
      <c r="H59" s="47">
        <f t="shared" si="5"/>
        <v>0</v>
      </c>
      <c r="I59" s="892"/>
      <c r="J59" s="892"/>
      <c r="K59" s="47">
        <f t="shared" si="1"/>
        <v>0</v>
      </c>
      <c r="L59" s="48">
        <f t="shared" si="2"/>
        <v>0</v>
      </c>
    </row>
    <row r="60" spans="1:12" ht="12.75" customHeight="1" x14ac:dyDescent="0.3">
      <c r="A60" s="46" t="s">
        <v>93</v>
      </c>
      <c r="B60" s="892"/>
      <c r="C60" s="892"/>
      <c r="D60" s="892"/>
      <c r="E60" s="892"/>
      <c r="F60" s="892"/>
      <c r="G60" s="892"/>
      <c r="H60" s="47">
        <v>0</v>
      </c>
      <c r="I60" s="892"/>
      <c r="J60" s="892"/>
      <c r="K60" s="47">
        <v>0</v>
      </c>
      <c r="L60" s="48">
        <f t="shared" si="2"/>
        <v>0</v>
      </c>
    </row>
    <row r="61" spans="1:12" ht="12.75" customHeight="1" x14ac:dyDescent="0.3">
      <c r="A61" s="46" t="s">
        <v>94</v>
      </c>
      <c r="B61" s="892"/>
      <c r="C61" s="892"/>
      <c r="D61" s="892"/>
      <c r="E61" s="892"/>
      <c r="F61" s="892"/>
      <c r="G61" s="892"/>
      <c r="H61" s="47">
        <f>IF(D61="",0,IF(D61=0,0,+F61/D61))</f>
        <v>0</v>
      </c>
      <c r="I61" s="892"/>
      <c r="J61" s="892"/>
      <c r="K61" s="47">
        <f t="shared" ref="K61:K77" si="6">IF(D61="",0,IF(D61=0,0,I61/D61))</f>
        <v>0</v>
      </c>
      <c r="L61" s="48">
        <f t="shared" si="2"/>
        <v>0</v>
      </c>
    </row>
    <row r="62" spans="1:12" ht="12.75" customHeight="1" x14ac:dyDescent="0.3">
      <c r="A62" s="49" t="s">
        <v>95</v>
      </c>
      <c r="B62" s="892"/>
      <c r="C62" s="892"/>
      <c r="D62" s="892"/>
      <c r="E62" s="892"/>
      <c r="F62" s="892"/>
      <c r="G62" s="892"/>
      <c r="H62" s="44">
        <f>IF(D62="",0,IF(D62=0,0,+F62/D62))</f>
        <v>0</v>
      </c>
      <c r="I62" s="892"/>
      <c r="J62" s="892"/>
      <c r="K62" s="44">
        <f t="shared" si="6"/>
        <v>0</v>
      </c>
      <c r="L62" s="45">
        <f t="shared" si="2"/>
        <v>0</v>
      </c>
    </row>
    <row r="63" spans="1:12" ht="12.75" customHeight="1" x14ac:dyDescent="0.3">
      <c r="A63" s="49" t="s">
        <v>96</v>
      </c>
      <c r="B63" s="891">
        <f>SUM(B64:C71)</f>
        <v>8235780.8800000008</v>
      </c>
      <c r="C63" s="891"/>
      <c r="D63" s="891">
        <f>SUM(D64:E71)</f>
        <v>8235780.8800000008</v>
      </c>
      <c r="E63" s="891"/>
      <c r="F63" s="891">
        <f>SUM(F64:G71)</f>
        <v>0</v>
      </c>
      <c r="G63" s="891"/>
      <c r="H63" s="44">
        <f>IF(D63="",0,IF(D63=0,0,+F63/D63))</f>
        <v>0</v>
      </c>
      <c r="I63" s="891">
        <f>SUM(I64:J71)</f>
        <v>0</v>
      </c>
      <c r="J63" s="891"/>
      <c r="K63" s="44">
        <f t="shared" si="6"/>
        <v>0</v>
      </c>
      <c r="L63" s="45">
        <f t="shared" si="2"/>
        <v>8235780.8800000008</v>
      </c>
    </row>
    <row r="64" spans="1:12" ht="12.75" customHeight="1" x14ac:dyDescent="0.3">
      <c r="A64" s="46" t="s">
        <v>97</v>
      </c>
      <c r="B64" s="892">
        <v>5545405.2800000003</v>
      </c>
      <c r="C64" s="892"/>
      <c r="D64" s="892">
        <v>5545405.2800000003</v>
      </c>
      <c r="E64" s="892"/>
      <c r="F64" s="892"/>
      <c r="G64" s="892"/>
      <c r="H64" s="47">
        <f>IF(D64="",0,IF(D64=0,0,+F64/D64))</f>
        <v>0</v>
      </c>
      <c r="I64" s="892"/>
      <c r="J64" s="892"/>
      <c r="K64" s="47">
        <f t="shared" si="6"/>
        <v>0</v>
      </c>
      <c r="L64" s="48">
        <f t="shared" si="2"/>
        <v>5545405.2800000003</v>
      </c>
    </row>
    <row r="65" spans="1:12" ht="12.75" customHeight="1" x14ac:dyDescent="0.3">
      <c r="A65" s="46" t="s">
        <v>98</v>
      </c>
      <c r="B65" s="892">
        <v>2690375.6</v>
      </c>
      <c r="C65" s="892"/>
      <c r="D65" s="892">
        <v>2690375.6</v>
      </c>
      <c r="E65" s="892"/>
      <c r="F65" s="892"/>
      <c r="G65" s="892"/>
      <c r="H65" s="47">
        <v>0</v>
      </c>
      <c r="I65" s="892"/>
      <c r="J65" s="892"/>
      <c r="K65" s="47">
        <f t="shared" si="6"/>
        <v>0</v>
      </c>
      <c r="L65" s="48">
        <f t="shared" si="2"/>
        <v>2690375.6</v>
      </c>
    </row>
    <row r="66" spans="1:12" ht="12.75" customHeight="1" x14ac:dyDescent="0.3">
      <c r="A66" s="46" t="s">
        <v>99</v>
      </c>
      <c r="B66" s="892"/>
      <c r="C66" s="892"/>
      <c r="D66" s="892"/>
      <c r="E66" s="892"/>
      <c r="F66" s="892"/>
      <c r="G66" s="892"/>
      <c r="H66" s="47">
        <v>0</v>
      </c>
      <c r="I66" s="892"/>
      <c r="J66" s="892"/>
      <c r="K66" s="47">
        <f t="shared" si="6"/>
        <v>0</v>
      </c>
      <c r="L66" s="48">
        <f t="shared" si="2"/>
        <v>0</v>
      </c>
    </row>
    <row r="67" spans="1:12" ht="12.75" customHeight="1" x14ac:dyDescent="0.3">
      <c r="A67" s="46" t="s">
        <v>100</v>
      </c>
      <c r="B67" s="892"/>
      <c r="C67" s="892"/>
      <c r="D67" s="892"/>
      <c r="E67" s="892"/>
      <c r="F67" s="892"/>
      <c r="G67" s="892"/>
      <c r="H67" s="47">
        <f t="shared" ref="H67:H77" si="7">IF(D67="",0,IF(D67=0,0,+F67/D67))</f>
        <v>0</v>
      </c>
      <c r="I67" s="892"/>
      <c r="J67" s="892"/>
      <c r="K67" s="47">
        <f t="shared" si="6"/>
        <v>0</v>
      </c>
      <c r="L67" s="48">
        <f t="shared" si="2"/>
        <v>0</v>
      </c>
    </row>
    <row r="68" spans="1:12" ht="12.75" customHeight="1" x14ac:dyDescent="0.3">
      <c r="A68" s="46" t="s">
        <v>101</v>
      </c>
      <c r="B68" s="892"/>
      <c r="C68" s="892"/>
      <c r="D68" s="892"/>
      <c r="E68" s="892"/>
      <c r="F68" s="892"/>
      <c r="G68" s="892"/>
      <c r="H68" s="47">
        <f t="shared" si="7"/>
        <v>0</v>
      </c>
      <c r="I68" s="892"/>
      <c r="J68" s="892"/>
      <c r="K68" s="47">
        <f t="shared" si="6"/>
        <v>0</v>
      </c>
      <c r="L68" s="48">
        <f t="shared" si="2"/>
        <v>0</v>
      </c>
    </row>
    <row r="69" spans="1:12" ht="12.75" customHeight="1" x14ac:dyDescent="0.3">
      <c r="A69" s="46" t="s">
        <v>102</v>
      </c>
      <c r="B69" s="892"/>
      <c r="C69" s="892"/>
      <c r="D69" s="892"/>
      <c r="E69" s="892"/>
      <c r="F69" s="892"/>
      <c r="G69" s="892"/>
      <c r="H69" s="47">
        <f t="shared" si="7"/>
        <v>0</v>
      </c>
      <c r="I69" s="892"/>
      <c r="J69" s="892"/>
      <c r="K69" s="47">
        <f t="shared" si="6"/>
        <v>0</v>
      </c>
      <c r="L69" s="48">
        <f t="shared" si="2"/>
        <v>0</v>
      </c>
    </row>
    <row r="70" spans="1:12" ht="12.75" customHeight="1" x14ac:dyDescent="0.3">
      <c r="A70" s="61" t="s">
        <v>103</v>
      </c>
      <c r="B70" s="892"/>
      <c r="C70" s="892"/>
      <c r="D70" s="892"/>
      <c r="E70" s="892"/>
      <c r="F70" s="892"/>
      <c r="G70" s="892"/>
      <c r="H70" s="47">
        <f t="shared" si="7"/>
        <v>0</v>
      </c>
      <c r="I70" s="892"/>
      <c r="J70" s="892"/>
      <c r="K70" s="47">
        <f t="shared" si="6"/>
        <v>0</v>
      </c>
      <c r="L70" s="48">
        <f t="shared" si="2"/>
        <v>0</v>
      </c>
    </row>
    <row r="71" spans="1:12" ht="12.75" customHeight="1" x14ac:dyDescent="0.3">
      <c r="A71" s="61" t="s">
        <v>104</v>
      </c>
      <c r="B71" s="892"/>
      <c r="C71" s="892"/>
      <c r="D71" s="892"/>
      <c r="E71" s="892"/>
      <c r="F71" s="892"/>
      <c r="G71" s="892"/>
      <c r="H71" s="47">
        <f t="shared" si="7"/>
        <v>0</v>
      </c>
      <c r="I71" s="892"/>
      <c r="J71" s="892"/>
      <c r="K71" s="47">
        <f t="shared" si="6"/>
        <v>0</v>
      </c>
      <c r="L71" s="48">
        <f t="shared" si="2"/>
        <v>0</v>
      </c>
    </row>
    <row r="72" spans="1:12" ht="12.75" customHeight="1" x14ac:dyDescent="0.3">
      <c r="A72" s="49" t="s">
        <v>105</v>
      </c>
      <c r="B72" s="891">
        <f>SUM(B73:C76)</f>
        <v>-13134418.539999999</v>
      </c>
      <c r="C72" s="891"/>
      <c r="D72" s="891">
        <f>SUM(D73:E76)</f>
        <v>-13134418.539999999</v>
      </c>
      <c r="E72" s="891"/>
      <c r="F72" s="891">
        <f>SUM(F73:G76)</f>
        <v>-279707.19</v>
      </c>
      <c r="G72" s="891"/>
      <c r="H72" s="44">
        <f t="shared" si="7"/>
        <v>2.1295742110560154E-2</v>
      </c>
      <c r="I72" s="891">
        <f>SUM(I73:J76)</f>
        <v>-1794274.37</v>
      </c>
      <c r="J72" s="891"/>
      <c r="K72" s="44">
        <f t="shared" si="6"/>
        <v>0.13660858792763889</v>
      </c>
      <c r="L72" s="45">
        <f t="shared" si="2"/>
        <v>-11340144.169999998</v>
      </c>
    </row>
    <row r="73" spans="1:12" ht="12.75" customHeight="1" x14ac:dyDescent="0.3">
      <c r="A73" s="46" t="s">
        <v>106</v>
      </c>
      <c r="B73" s="892"/>
      <c r="C73" s="892"/>
      <c r="D73" s="892"/>
      <c r="E73" s="892"/>
      <c r="F73" s="892"/>
      <c r="G73" s="892"/>
      <c r="H73" s="47">
        <f t="shared" si="7"/>
        <v>0</v>
      </c>
      <c r="I73" s="892"/>
      <c r="J73" s="892"/>
      <c r="K73" s="47">
        <f t="shared" si="6"/>
        <v>0</v>
      </c>
      <c r="L73" s="48">
        <f t="shared" si="2"/>
        <v>0</v>
      </c>
    </row>
    <row r="74" spans="1:12" ht="14.65" customHeight="1" x14ac:dyDescent="0.3">
      <c r="A74" s="62" t="s">
        <v>107</v>
      </c>
      <c r="B74" s="892"/>
      <c r="C74" s="892"/>
      <c r="D74" s="892"/>
      <c r="E74" s="892"/>
      <c r="F74" s="892"/>
      <c r="G74" s="892"/>
      <c r="H74" s="47">
        <f t="shared" si="7"/>
        <v>0</v>
      </c>
      <c r="I74" s="892"/>
      <c r="J74" s="892"/>
      <c r="K74" s="47">
        <f t="shared" si="6"/>
        <v>0</v>
      </c>
      <c r="L74" s="48">
        <f t="shared" si="2"/>
        <v>0</v>
      </c>
    </row>
    <row r="75" spans="1:12" ht="14.65" customHeight="1" x14ac:dyDescent="0.3">
      <c r="A75" s="61" t="s">
        <v>108</v>
      </c>
      <c r="B75" s="895"/>
      <c r="C75" s="895"/>
      <c r="D75" s="63"/>
      <c r="E75" s="64"/>
      <c r="F75" s="63"/>
      <c r="G75" s="64"/>
      <c r="H75" s="47">
        <f t="shared" si="7"/>
        <v>0</v>
      </c>
      <c r="I75" s="63"/>
      <c r="J75" s="64"/>
      <c r="K75" s="47">
        <f t="shared" si="6"/>
        <v>0</v>
      </c>
      <c r="L75" s="48">
        <f t="shared" si="2"/>
        <v>0</v>
      </c>
    </row>
    <row r="76" spans="1:12" ht="14.65" customHeight="1" x14ac:dyDescent="0.3">
      <c r="A76" s="61" t="s">
        <v>109</v>
      </c>
      <c r="B76" s="895">
        <v>-13134418.539999999</v>
      </c>
      <c r="C76" s="895"/>
      <c r="D76" s="63"/>
      <c r="E76" s="64">
        <v>-13134418.539999999</v>
      </c>
      <c r="F76" s="63"/>
      <c r="G76" s="64">
        <v>-279707.19</v>
      </c>
      <c r="H76" s="47">
        <f t="shared" si="7"/>
        <v>0</v>
      </c>
      <c r="I76" s="63"/>
      <c r="J76" s="64">
        <v>-1794274.37</v>
      </c>
      <c r="K76" s="47">
        <f t="shared" si="6"/>
        <v>0</v>
      </c>
      <c r="L76" s="48">
        <f t="shared" si="2"/>
        <v>0</v>
      </c>
    </row>
    <row r="77" spans="1:12" ht="14.65" customHeight="1" x14ac:dyDescent="0.3">
      <c r="A77" s="65" t="s">
        <v>110</v>
      </c>
      <c r="B77" s="896">
        <f>+B127</f>
        <v>0</v>
      </c>
      <c r="C77" s="896"/>
      <c r="D77" s="896">
        <f>+D127</f>
        <v>0</v>
      </c>
      <c r="E77" s="896"/>
      <c r="F77" s="896">
        <f>+F127</f>
        <v>0</v>
      </c>
      <c r="G77" s="896"/>
      <c r="H77" s="66">
        <f t="shared" si="7"/>
        <v>0</v>
      </c>
      <c r="I77" s="896">
        <f>+I127</f>
        <v>0</v>
      </c>
      <c r="J77" s="896"/>
      <c r="K77" s="66">
        <f t="shared" si="6"/>
        <v>0</v>
      </c>
      <c r="L77" s="67">
        <f>+L127</f>
        <v>0</v>
      </c>
    </row>
    <row r="78" spans="1:12" ht="12.75" customHeight="1" x14ac:dyDescent="0.3">
      <c r="A78" s="68" t="s">
        <v>111</v>
      </c>
      <c r="B78" s="897">
        <f>+B13+B77</f>
        <v>50250284.440000005</v>
      </c>
      <c r="C78" s="897"/>
      <c r="D78" s="897">
        <f>+D13+D77</f>
        <v>50250284.440000005</v>
      </c>
      <c r="E78" s="897"/>
      <c r="F78" s="897">
        <f>+F13+F77</f>
        <v>4655862.5999999996</v>
      </c>
      <c r="G78" s="897"/>
      <c r="H78" s="69"/>
      <c r="I78" s="897">
        <f>+I13+I77</f>
        <v>26708104.670000002</v>
      </c>
      <c r="J78" s="897"/>
      <c r="K78" s="69"/>
      <c r="L78" s="70">
        <f>+L13+L77</f>
        <v>23542179.770000003</v>
      </c>
    </row>
    <row r="79" spans="1:12" ht="14.65" customHeight="1" x14ac:dyDescent="0.3">
      <c r="A79" s="71" t="s">
        <v>112</v>
      </c>
      <c r="B79" s="898">
        <f>+B80+B83</f>
        <v>0</v>
      </c>
      <c r="C79" s="898"/>
      <c r="D79" s="898">
        <f>+D80+D83</f>
        <v>0</v>
      </c>
      <c r="E79" s="898"/>
      <c r="F79" s="898">
        <f>+F80+F83</f>
        <v>0</v>
      </c>
      <c r="G79" s="898"/>
      <c r="H79" s="66">
        <f t="shared" ref="H79:H85" si="8">IF(D79="",0,IF(D79=0,0,+F79/D79))</f>
        <v>0</v>
      </c>
      <c r="I79" s="898">
        <f>+I80+I83</f>
        <v>0</v>
      </c>
      <c r="J79" s="898"/>
      <c r="K79" s="66">
        <f t="shared" ref="K79:K85" si="9">IF(D79="",0,IF(D79=0,0,I79/D79))</f>
        <v>0</v>
      </c>
      <c r="L79" s="67">
        <f t="shared" ref="L79:L86" si="10">+D79-I79</f>
        <v>0</v>
      </c>
    </row>
    <row r="80" spans="1:12" ht="12.75" customHeight="1" x14ac:dyDescent="0.3">
      <c r="A80" s="40" t="s">
        <v>113</v>
      </c>
      <c r="B80" s="890">
        <f>SUM(B81:C82)</f>
        <v>0</v>
      </c>
      <c r="C80" s="890"/>
      <c r="D80" s="890">
        <f>SUM(D81:E82)</f>
        <v>0</v>
      </c>
      <c r="E80" s="890"/>
      <c r="F80" s="890">
        <f>SUM(F81:G82)</f>
        <v>0</v>
      </c>
      <c r="G80" s="890"/>
      <c r="H80" s="73">
        <f t="shared" si="8"/>
        <v>0</v>
      </c>
      <c r="I80" s="890">
        <f>SUM(I81:J82)</f>
        <v>0</v>
      </c>
      <c r="J80" s="890"/>
      <c r="K80" s="73">
        <f t="shared" si="9"/>
        <v>0</v>
      </c>
      <c r="L80" s="42">
        <f t="shared" si="10"/>
        <v>0</v>
      </c>
    </row>
    <row r="81" spans="1:12" ht="12.75" customHeight="1" x14ac:dyDescent="0.3">
      <c r="A81" s="46" t="s">
        <v>114</v>
      </c>
      <c r="B81" s="892"/>
      <c r="C81" s="892"/>
      <c r="D81" s="892"/>
      <c r="E81" s="892"/>
      <c r="F81" s="892"/>
      <c r="G81" s="892"/>
      <c r="H81" s="47">
        <f t="shared" si="8"/>
        <v>0</v>
      </c>
      <c r="I81" s="892"/>
      <c r="J81" s="892"/>
      <c r="K81" s="47">
        <f t="shared" si="9"/>
        <v>0</v>
      </c>
      <c r="L81" s="48">
        <f t="shared" si="10"/>
        <v>0</v>
      </c>
    </row>
    <row r="82" spans="1:12" ht="12.75" customHeight="1" x14ac:dyDescent="0.3">
      <c r="A82" s="74" t="s">
        <v>115</v>
      </c>
      <c r="B82" s="892"/>
      <c r="C82" s="892"/>
      <c r="D82" s="892"/>
      <c r="E82" s="892"/>
      <c r="F82" s="892"/>
      <c r="G82" s="892"/>
      <c r="H82" s="47">
        <f t="shared" si="8"/>
        <v>0</v>
      </c>
      <c r="I82" s="892"/>
      <c r="J82" s="892"/>
      <c r="K82" s="47">
        <f t="shared" si="9"/>
        <v>0</v>
      </c>
      <c r="L82" s="48">
        <f t="shared" si="10"/>
        <v>0</v>
      </c>
    </row>
    <row r="83" spans="1:12" ht="12.75" customHeight="1" x14ac:dyDescent="0.3">
      <c r="A83" s="40" t="s">
        <v>116</v>
      </c>
      <c r="B83" s="890">
        <f>SUM(B84:C85)</f>
        <v>0</v>
      </c>
      <c r="C83" s="890"/>
      <c r="D83" s="890">
        <f>SUM(D84:E85)</f>
        <v>0</v>
      </c>
      <c r="E83" s="890"/>
      <c r="F83" s="890">
        <f>SUM(F84:G85)</f>
        <v>0</v>
      </c>
      <c r="G83" s="890"/>
      <c r="H83" s="73">
        <f t="shared" si="8"/>
        <v>0</v>
      </c>
      <c r="I83" s="890">
        <f>SUM(I84:J85)</f>
        <v>0</v>
      </c>
      <c r="J83" s="890"/>
      <c r="K83" s="73">
        <f t="shared" si="9"/>
        <v>0</v>
      </c>
      <c r="L83" s="42">
        <f t="shared" si="10"/>
        <v>0</v>
      </c>
    </row>
    <row r="84" spans="1:12" ht="12.75" customHeight="1" x14ac:dyDescent="0.3">
      <c r="A84" s="46" t="s">
        <v>114</v>
      </c>
      <c r="B84" s="892"/>
      <c r="C84" s="892"/>
      <c r="D84" s="892"/>
      <c r="E84" s="892"/>
      <c r="F84" s="892"/>
      <c r="G84" s="892"/>
      <c r="H84" s="47">
        <f t="shared" si="8"/>
        <v>0</v>
      </c>
      <c r="I84" s="892"/>
      <c r="J84" s="892"/>
      <c r="K84" s="47">
        <f t="shared" si="9"/>
        <v>0</v>
      </c>
      <c r="L84" s="48">
        <f t="shared" si="10"/>
        <v>0</v>
      </c>
    </row>
    <row r="85" spans="1:12" ht="12.75" customHeight="1" x14ac:dyDescent="0.3">
      <c r="A85" s="74" t="s">
        <v>115</v>
      </c>
      <c r="B85" s="892"/>
      <c r="C85" s="892"/>
      <c r="D85" s="892"/>
      <c r="E85" s="892"/>
      <c r="F85" s="892"/>
      <c r="G85" s="892"/>
      <c r="H85" s="47">
        <f t="shared" si="8"/>
        <v>0</v>
      </c>
      <c r="I85" s="892"/>
      <c r="J85" s="892"/>
      <c r="K85" s="47">
        <f t="shared" si="9"/>
        <v>0</v>
      </c>
      <c r="L85" s="48">
        <f t="shared" si="10"/>
        <v>0</v>
      </c>
    </row>
    <row r="86" spans="1:12" ht="14.65" customHeight="1" x14ac:dyDescent="0.3">
      <c r="A86" s="68" t="s">
        <v>117</v>
      </c>
      <c r="B86" s="897">
        <f>+B78+B79</f>
        <v>50250284.440000005</v>
      </c>
      <c r="C86" s="897"/>
      <c r="D86" s="897">
        <f>+D78+D79</f>
        <v>50250284.440000005</v>
      </c>
      <c r="E86" s="897"/>
      <c r="F86" s="897">
        <f>+F78+F79</f>
        <v>4655862.5999999996</v>
      </c>
      <c r="G86" s="897"/>
      <c r="H86" s="69"/>
      <c r="I86" s="897">
        <f>+I78+I79</f>
        <v>26708104.670000002</v>
      </c>
      <c r="J86" s="897"/>
      <c r="K86" s="69"/>
      <c r="L86" s="70">
        <f t="shared" si="10"/>
        <v>23542179.770000003</v>
      </c>
    </row>
    <row r="87" spans="1:12" ht="12.75" customHeight="1" x14ac:dyDescent="0.3">
      <c r="A87" s="75" t="s">
        <v>118</v>
      </c>
      <c r="B87" s="899"/>
      <c r="C87" s="899"/>
      <c r="D87" s="899"/>
      <c r="E87" s="899"/>
      <c r="F87" s="899"/>
      <c r="G87" s="899"/>
      <c r="H87" s="69"/>
      <c r="I87" s="900">
        <f>IF(A7="6º Bimestre de 2017",IF(I86-ABS(E117)&lt;0,ABS(E117)-I86,0),IF(I86-ABS(H117)&lt;0,ABS(H117)-I86,0))</f>
        <v>0</v>
      </c>
      <c r="J87" s="900"/>
      <c r="K87" s="69"/>
      <c r="L87" s="77"/>
    </row>
    <row r="88" spans="1:12" ht="12.75" customHeight="1" x14ac:dyDescent="0.3">
      <c r="A88" s="78" t="s">
        <v>119</v>
      </c>
      <c r="B88" s="901">
        <f>+B86</f>
        <v>50250284.440000005</v>
      </c>
      <c r="C88" s="901"/>
      <c r="D88" s="901">
        <f>+D86</f>
        <v>50250284.440000005</v>
      </c>
      <c r="E88" s="901"/>
      <c r="F88" s="901">
        <f>+F86</f>
        <v>4655862.5999999996</v>
      </c>
      <c r="G88" s="901"/>
      <c r="H88" s="69"/>
      <c r="I88" s="901">
        <f>+I87+I86</f>
        <v>26708104.670000002</v>
      </c>
      <c r="J88" s="901"/>
      <c r="K88" s="69"/>
      <c r="L88" s="79">
        <f>+D88-I88</f>
        <v>23542179.770000003</v>
      </c>
    </row>
    <row r="89" spans="1:12" ht="14.65" customHeight="1" x14ac:dyDescent="0.3">
      <c r="A89" s="80" t="s">
        <v>120</v>
      </c>
      <c r="B89" s="902"/>
      <c r="C89" s="902"/>
      <c r="D89" s="902"/>
      <c r="E89" s="902"/>
      <c r="F89" s="899"/>
      <c r="G89" s="899"/>
      <c r="H89" s="69"/>
      <c r="I89" s="903"/>
      <c r="J89" s="903"/>
      <c r="K89" s="69"/>
      <c r="L89" s="76"/>
    </row>
    <row r="90" spans="1:12" ht="14.65" customHeight="1" x14ac:dyDescent="0.3">
      <c r="A90" s="81" t="s">
        <v>121</v>
      </c>
      <c r="B90" s="902"/>
      <c r="C90" s="902"/>
      <c r="D90" s="902"/>
      <c r="E90" s="902"/>
      <c r="F90" s="899"/>
      <c r="G90" s="899"/>
      <c r="H90" s="69"/>
      <c r="I90" s="899"/>
      <c r="J90" s="899"/>
      <c r="K90" s="69"/>
      <c r="L90" s="76"/>
    </row>
    <row r="91" spans="1:12" ht="12.75" customHeight="1" x14ac:dyDescent="0.3">
      <c r="A91" s="81" t="s">
        <v>122</v>
      </c>
      <c r="B91" s="899"/>
      <c r="C91" s="899"/>
      <c r="D91" s="902"/>
      <c r="E91" s="902"/>
      <c r="F91" s="899"/>
      <c r="G91" s="899"/>
      <c r="H91" s="69"/>
      <c r="I91" s="902"/>
      <c r="J91" s="902"/>
      <c r="K91" s="69"/>
      <c r="L91" s="76"/>
    </row>
    <row r="92" spans="1:12" ht="12.75" customHeight="1" x14ac:dyDescent="0.3">
      <c r="A92" s="81" t="s">
        <v>123</v>
      </c>
      <c r="B92" s="899"/>
      <c r="C92" s="899"/>
      <c r="D92" s="902"/>
      <c r="E92" s="902"/>
      <c r="F92" s="899"/>
      <c r="G92" s="899"/>
      <c r="H92" s="69"/>
      <c r="I92" s="902"/>
      <c r="J92" s="902"/>
      <c r="K92" s="69"/>
      <c r="L92" s="76"/>
    </row>
    <row r="93" spans="1:12" ht="12.7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ht="14.25" customHeight="1" x14ac:dyDescent="0.3">
      <c r="A94" s="82"/>
      <c r="B94" s="904" t="s">
        <v>124</v>
      </c>
      <c r="C94" s="904" t="s">
        <v>125</v>
      </c>
      <c r="D94" s="905" t="s">
        <v>126</v>
      </c>
      <c r="E94" s="905"/>
      <c r="F94" s="83" t="s">
        <v>36</v>
      </c>
      <c r="G94" s="905" t="s">
        <v>127</v>
      </c>
      <c r="H94" s="905"/>
      <c r="I94" s="906" t="s">
        <v>36</v>
      </c>
      <c r="J94" s="904" t="s">
        <v>128</v>
      </c>
      <c r="K94" s="907" t="s">
        <v>129</v>
      </c>
      <c r="L94" s="907"/>
    </row>
    <row r="95" spans="1:12" ht="14.25" customHeight="1" x14ac:dyDescent="0.3">
      <c r="A95" s="84" t="s">
        <v>130</v>
      </c>
      <c r="B95" s="904"/>
      <c r="C95" s="904"/>
      <c r="D95" s="908" t="s">
        <v>37</v>
      </c>
      <c r="E95" s="909" t="s">
        <v>39</v>
      </c>
      <c r="F95" s="85"/>
      <c r="G95" s="908" t="s">
        <v>37</v>
      </c>
      <c r="H95" s="909" t="s">
        <v>39</v>
      </c>
      <c r="I95" s="906"/>
      <c r="J95" s="904"/>
      <c r="K95" s="907"/>
      <c r="L95" s="907"/>
    </row>
    <row r="96" spans="1:12" ht="14.25" customHeight="1" x14ac:dyDescent="0.3">
      <c r="A96" s="86"/>
      <c r="B96" s="904"/>
      <c r="C96" s="904"/>
      <c r="D96" s="904"/>
      <c r="E96" s="909"/>
      <c r="F96" s="85"/>
      <c r="G96" s="908"/>
      <c r="H96" s="909"/>
      <c r="I96" s="906"/>
      <c r="J96" s="904"/>
      <c r="K96" s="907"/>
      <c r="L96" s="907"/>
    </row>
    <row r="97" spans="1:13" ht="12.75" customHeight="1" x14ac:dyDescent="0.3">
      <c r="A97" s="87"/>
      <c r="B97" s="88" t="s">
        <v>131</v>
      </c>
      <c r="C97" s="88" t="s">
        <v>132</v>
      </c>
      <c r="D97" s="908"/>
      <c r="E97" s="88" t="s">
        <v>133</v>
      </c>
      <c r="F97" s="89" t="s">
        <v>134</v>
      </c>
      <c r="G97" s="908"/>
      <c r="H97" s="88" t="s">
        <v>135</v>
      </c>
      <c r="I97" s="88" t="s">
        <v>136</v>
      </c>
      <c r="J97" s="88" t="s">
        <v>137</v>
      </c>
      <c r="K97" s="910" t="s">
        <v>138</v>
      </c>
      <c r="L97" s="910"/>
    </row>
    <row r="98" spans="1:13" ht="12.75" customHeight="1" x14ac:dyDescent="0.3">
      <c r="A98" s="90" t="s">
        <v>139</v>
      </c>
      <c r="B98" s="72">
        <f t="shared" ref="B98:K98" si="11">+B99+B103+B107</f>
        <v>50259789.900000006</v>
      </c>
      <c r="C98" s="72">
        <f t="shared" si="11"/>
        <v>50259789.899999999</v>
      </c>
      <c r="D98" s="72">
        <f t="shared" si="11"/>
        <v>1865758.32</v>
      </c>
      <c r="E98" s="72">
        <f t="shared" si="11"/>
        <v>33643906.439999998</v>
      </c>
      <c r="F98" s="72">
        <f t="shared" si="11"/>
        <v>16615883.460000001</v>
      </c>
      <c r="G98" s="72">
        <f t="shared" si="11"/>
        <v>5391769.9999999991</v>
      </c>
      <c r="H98" s="72">
        <f t="shared" si="11"/>
        <v>24833314.969999999</v>
      </c>
      <c r="I98" s="72">
        <f t="shared" si="11"/>
        <v>25426474.930000003</v>
      </c>
      <c r="J98" s="72">
        <f t="shared" si="11"/>
        <v>7050067.7000000002</v>
      </c>
      <c r="K98" s="889">
        <f t="shared" si="11"/>
        <v>0</v>
      </c>
      <c r="L98" s="889"/>
    </row>
    <row r="99" spans="1:13" ht="12.75" customHeight="1" x14ac:dyDescent="0.3">
      <c r="A99" s="91" t="s">
        <v>140</v>
      </c>
      <c r="B99" s="42">
        <f t="shared" ref="B99:K99" si="12">SUM(B100:B102)</f>
        <v>42261405.880000003</v>
      </c>
      <c r="C99" s="42">
        <f t="shared" si="12"/>
        <v>44235635.289999999</v>
      </c>
      <c r="D99" s="42">
        <f t="shared" si="12"/>
        <v>1025192.76</v>
      </c>
      <c r="E99" s="42">
        <f t="shared" si="12"/>
        <v>31258690.350000001</v>
      </c>
      <c r="F99" s="42">
        <f t="shared" si="12"/>
        <v>12976944.939999999</v>
      </c>
      <c r="G99" s="42">
        <f t="shared" si="12"/>
        <v>4990788.3599999994</v>
      </c>
      <c r="H99" s="42">
        <f t="shared" si="12"/>
        <v>23461580.799999997</v>
      </c>
      <c r="I99" s="42">
        <f t="shared" si="12"/>
        <v>20774054.490000002</v>
      </c>
      <c r="J99" s="42">
        <f t="shared" si="12"/>
        <v>7050067.7000000002</v>
      </c>
      <c r="K99" s="890">
        <f t="shared" si="12"/>
        <v>0</v>
      </c>
      <c r="L99" s="890"/>
    </row>
    <row r="100" spans="1:13" s="30" customFormat="1" ht="12.75" customHeight="1" x14ac:dyDescent="0.3">
      <c r="A100" s="92" t="s">
        <v>141</v>
      </c>
      <c r="B100" s="860">
        <v>26601135.760000002</v>
      </c>
      <c r="C100" s="860">
        <v>28875091.960000001</v>
      </c>
      <c r="D100" s="93">
        <v>244340.31</v>
      </c>
      <c r="E100" s="93">
        <v>21825024.260000002</v>
      </c>
      <c r="F100" s="45">
        <f>+C100-E100</f>
        <v>7050067.6999999993</v>
      </c>
      <c r="G100" s="94">
        <v>3334910.88</v>
      </c>
      <c r="H100" s="94">
        <v>16071521.779999999</v>
      </c>
      <c r="I100" s="95">
        <f t="shared" ref="I100:I107" si="13">+C100-H100</f>
        <v>12803570.180000002</v>
      </c>
      <c r="J100" s="96">
        <v>7050067.7000000002</v>
      </c>
      <c r="K100" s="911"/>
      <c r="L100" s="911"/>
    </row>
    <row r="101" spans="1:13" ht="12.75" customHeight="1" x14ac:dyDescent="0.3">
      <c r="A101" s="92" t="s">
        <v>142</v>
      </c>
      <c r="B101" s="860"/>
      <c r="C101" s="860"/>
      <c r="D101" s="93"/>
      <c r="E101" s="93"/>
      <c r="F101" s="45">
        <f>+C101-E101</f>
        <v>0</v>
      </c>
      <c r="G101" s="94"/>
      <c r="H101" s="94">
        <v>0</v>
      </c>
      <c r="I101" s="95">
        <f t="shared" si="13"/>
        <v>0</v>
      </c>
      <c r="J101" s="93"/>
      <c r="K101" s="911"/>
      <c r="L101" s="911"/>
    </row>
    <row r="102" spans="1:13" ht="12.75" customHeight="1" x14ac:dyDescent="0.3">
      <c r="A102" s="92" t="s">
        <v>143</v>
      </c>
      <c r="B102" s="860">
        <v>15660270.119999999</v>
      </c>
      <c r="C102" s="860">
        <v>15360543.33</v>
      </c>
      <c r="D102" s="93">
        <v>780852.45</v>
      </c>
      <c r="E102" s="93">
        <v>9433666.0899999999</v>
      </c>
      <c r="F102" s="45">
        <f>+C102-E102</f>
        <v>5926877.2400000002</v>
      </c>
      <c r="G102" s="94">
        <v>1655877.48</v>
      </c>
      <c r="H102" s="94">
        <v>7390059.0199999996</v>
      </c>
      <c r="I102" s="95">
        <f t="shared" si="13"/>
        <v>7970484.3100000005</v>
      </c>
      <c r="J102" s="93"/>
      <c r="K102" s="911"/>
      <c r="L102" s="911"/>
    </row>
    <row r="103" spans="1:13" s="30" customFormat="1" ht="12.75" customHeight="1" x14ac:dyDescent="0.3">
      <c r="A103" s="91" t="s">
        <v>144</v>
      </c>
      <c r="B103" s="42">
        <f t="shared" ref="B103:H103" si="14">SUM(B104:B106)</f>
        <v>7529557.7699999996</v>
      </c>
      <c r="C103" s="42">
        <f t="shared" si="14"/>
        <v>5704703.3600000003</v>
      </c>
      <c r="D103" s="42">
        <f t="shared" si="14"/>
        <v>840565.56</v>
      </c>
      <c r="E103" s="42">
        <f t="shared" si="14"/>
        <v>2385216.09</v>
      </c>
      <c r="F103" s="42">
        <f t="shared" si="14"/>
        <v>3319487.2700000005</v>
      </c>
      <c r="G103" s="42">
        <f t="shared" si="14"/>
        <v>400981.64</v>
      </c>
      <c r="H103" s="42">
        <f t="shared" si="14"/>
        <v>1371734.17</v>
      </c>
      <c r="I103" s="42">
        <f t="shared" si="13"/>
        <v>4332969.1900000004</v>
      </c>
      <c r="J103" s="42">
        <f>SUM(J104:J106)</f>
        <v>0</v>
      </c>
      <c r="K103" s="890">
        <f>SUM(K104:K106)</f>
        <v>0</v>
      </c>
      <c r="L103" s="890"/>
    </row>
    <row r="104" spans="1:13" ht="12.75" customHeight="1" x14ac:dyDescent="0.3">
      <c r="A104" s="92" t="s">
        <v>145</v>
      </c>
      <c r="B104" s="860">
        <v>7481286.5199999996</v>
      </c>
      <c r="C104" s="860">
        <v>5704295.1100000003</v>
      </c>
      <c r="D104" s="93">
        <v>840565.56</v>
      </c>
      <c r="E104" s="93">
        <v>2385216.09</v>
      </c>
      <c r="F104" s="45">
        <f>+C104-E104</f>
        <v>3319079.0200000005</v>
      </c>
      <c r="G104" s="94">
        <v>400981.64</v>
      </c>
      <c r="H104" s="94">
        <v>1371734.17</v>
      </c>
      <c r="I104" s="95">
        <f t="shared" si="13"/>
        <v>4332560.9400000004</v>
      </c>
      <c r="J104" s="93"/>
      <c r="K104" s="911"/>
      <c r="L104" s="911"/>
    </row>
    <row r="105" spans="1:13" ht="12.75" customHeight="1" x14ac:dyDescent="0.3">
      <c r="A105" s="92" t="s">
        <v>146</v>
      </c>
      <c r="B105" s="860">
        <v>48271.25</v>
      </c>
      <c r="C105" s="860">
        <v>408.25</v>
      </c>
      <c r="D105" s="93"/>
      <c r="E105" s="93"/>
      <c r="F105" s="45">
        <f>+C105-E105</f>
        <v>408.25</v>
      </c>
      <c r="G105" s="94"/>
      <c r="H105" s="94">
        <v>0</v>
      </c>
      <c r="I105" s="95">
        <f t="shared" si="13"/>
        <v>408.25</v>
      </c>
      <c r="J105" s="93"/>
      <c r="K105" s="911"/>
      <c r="L105" s="911"/>
    </row>
    <row r="106" spans="1:13" ht="12.75" customHeight="1" x14ac:dyDescent="0.3">
      <c r="A106" s="92" t="s">
        <v>147</v>
      </c>
      <c r="B106" s="860"/>
      <c r="C106" s="860"/>
      <c r="D106" s="93"/>
      <c r="E106" s="93"/>
      <c r="F106" s="45">
        <f>+C106-E106</f>
        <v>0</v>
      </c>
      <c r="G106" s="94"/>
      <c r="H106" s="94"/>
      <c r="I106" s="95">
        <f t="shared" si="13"/>
        <v>0</v>
      </c>
      <c r="J106" s="93"/>
      <c r="K106" s="911"/>
      <c r="L106" s="911"/>
    </row>
    <row r="107" spans="1:13" ht="12.75" customHeight="1" x14ac:dyDescent="0.3">
      <c r="A107" s="91" t="s">
        <v>148</v>
      </c>
      <c r="B107" s="860">
        <v>468826.25</v>
      </c>
      <c r="C107" s="860">
        <v>319451.25</v>
      </c>
      <c r="D107" s="76"/>
      <c r="E107" s="76"/>
      <c r="F107" s="97">
        <f>+C107-E107</f>
        <v>319451.25</v>
      </c>
      <c r="G107" s="76"/>
      <c r="H107" s="76"/>
      <c r="I107" s="97">
        <f t="shared" si="13"/>
        <v>319451.25</v>
      </c>
      <c r="J107" s="76"/>
      <c r="K107" s="899"/>
      <c r="L107" s="899"/>
      <c r="M107" s="98"/>
    </row>
    <row r="108" spans="1:13" ht="12.75" customHeight="1" x14ac:dyDescent="0.3">
      <c r="A108" s="99" t="s">
        <v>149</v>
      </c>
      <c r="B108" s="100">
        <f t="shared" ref="B108:K108" si="15">+B195</f>
        <v>0</v>
      </c>
      <c r="C108" s="100">
        <f t="shared" si="15"/>
        <v>0</v>
      </c>
      <c r="D108" s="100">
        <f t="shared" si="15"/>
        <v>0</v>
      </c>
      <c r="E108" s="100">
        <f t="shared" si="15"/>
        <v>0</v>
      </c>
      <c r="F108" s="100">
        <f t="shared" si="15"/>
        <v>0</v>
      </c>
      <c r="G108" s="100">
        <f t="shared" si="15"/>
        <v>0</v>
      </c>
      <c r="H108" s="100">
        <f t="shared" si="15"/>
        <v>0</v>
      </c>
      <c r="I108" s="100">
        <f t="shared" si="15"/>
        <v>0</v>
      </c>
      <c r="J108" s="100">
        <f t="shared" si="15"/>
        <v>0</v>
      </c>
      <c r="K108" s="889">
        <f t="shared" si="15"/>
        <v>0</v>
      </c>
      <c r="L108" s="889"/>
    </row>
    <row r="109" spans="1:13" ht="12.75" customHeight="1" x14ac:dyDescent="0.3">
      <c r="A109" s="101" t="s">
        <v>150</v>
      </c>
      <c r="B109" s="102">
        <f>+B98+B108</f>
        <v>50259789.900000006</v>
      </c>
      <c r="C109" s="102">
        <f>+C98+C108</f>
        <v>50259789.899999999</v>
      </c>
      <c r="D109" s="102">
        <f>+D98+D108</f>
        <v>1865758.32</v>
      </c>
      <c r="E109" s="102">
        <f>+E98+E108</f>
        <v>33643906.439999998</v>
      </c>
      <c r="F109" s="102">
        <f>+F108+C108</f>
        <v>0</v>
      </c>
      <c r="G109" s="102">
        <f>+G98+G108</f>
        <v>5391769.9999999991</v>
      </c>
      <c r="H109" s="102">
        <f>+H98+H108</f>
        <v>24833314.969999999</v>
      </c>
      <c r="I109" s="103">
        <f>+I108+I108</f>
        <v>0</v>
      </c>
      <c r="J109" s="102">
        <f>+J108+J98</f>
        <v>7050067.7000000002</v>
      </c>
      <c r="K109" s="897">
        <f>K108+K98</f>
        <v>0</v>
      </c>
      <c r="L109" s="897"/>
    </row>
    <row r="110" spans="1:13" ht="12.75" customHeight="1" x14ac:dyDescent="0.3">
      <c r="A110" s="104" t="s">
        <v>151</v>
      </c>
      <c r="B110" s="105">
        <f t="shared" ref="B110:K110" si="16">+B111+B114</f>
        <v>0</v>
      </c>
      <c r="C110" s="105">
        <f t="shared" si="16"/>
        <v>0</v>
      </c>
      <c r="D110" s="105">
        <f t="shared" si="16"/>
        <v>0</v>
      </c>
      <c r="E110" s="105">
        <f t="shared" si="16"/>
        <v>0</v>
      </c>
      <c r="F110" s="105">
        <f t="shared" si="16"/>
        <v>0</v>
      </c>
      <c r="G110" s="105">
        <f t="shared" si="16"/>
        <v>0</v>
      </c>
      <c r="H110" s="105">
        <f t="shared" si="16"/>
        <v>0</v>
      </c>
      <c r="I110" s="105">
        <f t="shared" si="16"/>
        <v>0</v>
      </c>
      <c r="J110" s="105">
        <f t="shared" si="16"/>
        <v>0</v>
      </c>
      <c r="K110" s="890">
        <f t="shared" si="16"/>
        <v>0</v>
      </c>
      <c r="L110" s="890"/>
    </row>
    <row r="111" spans="1:13" ht="12.75" customHeight="1" x14ac:dyDescent="0.3">
      <c r="A111" s="49" t="s">
        <v>152</v>
      </c>
      <c r="B111" s="45">
        <f t="shared" ref="B111:K111" si="17">SUM(B112:B113)</f>
        <v>0</v>
      </c>
      <c r="C111" s="45">
        <f t="shared" si="17"/>
        <v>0</v>
      </c>
      <c r="D111" s="45">
        <f t="shared" si="17"/>
        <v>0</v>
      </c>
      <c r="E111" s="45">
        <f t="shared" si="17"/>
        <v>0</v>
      </c>
      <c r="F111" s="45">
        <f t="shared" si="17"/>
        <v>0</v>
      </c>
      <c r="G111" s="45">
        <f t="shared" si="17"/>
        <v>0</v>
      </c>
      <c r="H111" s="45">
        <f t="shared" si="17"/>
        <v>0</v>
      </c>
      <c r="I111" s="45">
        <f t="shared" si="17"/>
        <v>0</v>
      </c>
      <c r="J111" s="45">
        <f t="shared" si="17"/>
        <v>0</v>
      </c>
      <c r="K111" s="891">
        <f t="shared" si="17"/>
        <v>0</v>
      </c>
      <c r="L111" s="891"/>
    </row>
    <row r="112" spans="1:13" ht="12.75" customHeight="1" x14ac:dyDescent="0.3">
      <c r="A112" s="46" t="s">
        <v>153</v>
      </c>
      <c r="B112" s="94"/>
      <c r="C112" s="94"/>
      <c r="D112" s="93"/>
      <c r="E112" s="94"/>
      <c r="F112" s="48">
        <f>+C112-E112</f>
        <v>0</v>
      </c>
      <c r="G112" s="63"/>
      <c r="H112" s="63"/>
      <c r="I112" s="106">
        <f>+C112-H112</f>
        <v>0</v>
      </c>
      <c r="J112" s="93"/>
      <c r="K112" s="892"/>
      <c r="L112" s="892"/>
    </row>
    <row r="113" spans="1:13" ht="12.75" customHeight="1" x14ac:dyDescent="0.3">
      <c r="A113" s="46" t="s">
        <v>154</v>
      </c>
      <c r="B113" s="94"/>
      <c r="C113" s="94"/>
      <c r="D113" s="93"/>
      <c r="E113" s="94"/>
      <c r="F113" s="48">
        <f>+C113-E113</f>
        <v>0</v>
      </c>
      <c r="G113" s="63"/>
      <c r="H113" s="63"/>
      <c r="I113" s="106">
        <f>+C113-H113</f>
        <v>0</v>
      </c>
      <c r="J113" s="93"/>
      <c r="K113" s="892"/>
      <c r="L113" s="892"/>
    </row>
    <row r="114" spans="1:13" ht="12.75" customHeight="1" x14ac:dyDescent="0.3">
      <c r="A114" s="49" t="s">
        <v>155</v>
      </c>
      <c r="B114" s="45">
        <f>SUM(B115:B116)</f>
        <v>0</v>
      </c>
      <c r="C114" s="45">
        <f>SUM(C115:C116)</f>
        <v>0</v>
      </c>
      <c r="D114" s="45">
        <f>SUM(D115:D116)</f>
        <v>0</v>
      </c>
      <c r="E114" s="45">
        <f>SUM(E115:E116)</f>
        <v>0</v>
      </c>
      <c r="F114" s="45">
        <f>+C114-E114</f>
        <v>0</v>
      </c>
      <c r="G114" s="45">
        <f>SUM(G115:G116)</f>
        <v>0</v>
      </c>
      <c r="H114" s="45">
        <f>SUM(H115:H116)</f>
        <v>0</v>
      </c>
      <c r="I114" s="45">
        <f>+C114-H114</f>
        <v>0</v>
      </c>
      <c r="J114" s="45">
        <f>SUM(J115:J116)</f>
        <v>0</v>
      </c>
      <c r="K114" s="891">
        <f>SUM(K115:K116)</f>
        <v>0</v>
      </c>
      <c r="L114" s="891"/>
    </row>
    <row r="115" spans="1:13" ht="12.75" customHeight="1" x14ac:dyDescent="0.3">
      <c r="A115" s="46" t="s">
        <v>153</v>
      </c>
      <c r="B115" s="94"/>
      <c r="C115" s="94"/>
      <c r="D115" s="93"/>
      <c r="E115" s="94"/>
      <c r="F115" s="48">
        <f>+C115-E115</f>
        <v>0</v>
      </c>
      <c r="G115" s="63"/>
      <c r="H115" s="63"/>
      <c r="I115" s="106">
        <f>+C115-H115</f>
        <v>0</v>
      </c>
      <c r="J115" s="93"/>
      <c r="K115" s="892"/>
      <c r="L115" s="892"/>
    </row>
    <row r="116" spans="1:13" ht="12.75" customHeight="1" x14ac:dyDescent="0.3">
      <c r="A116" s="107" t="s">
        <v>154</v>
      </c>
      <c r="B116" s="94"/>
      <c r="C116" s="94"/>
      <c r="D116" s="93"/>
      <c r="E116" s="94"/>
      <c r="F116" s="48">
        <f>+C116-E116</f>
        <v>0</v>
      </c>
      <c r="G116" s="63"/>
      <c r="H116" s="63"/>
      <c r="I116" s="106">
        <f>+C116-H116</f>
        <v>0</v>
      </c>
      <c r="J116" s="93"/>
      <c r="K116" s="892"/>
      <c r="L116" s="892"/>
    </row>
    <row r="117" spans="1:13" ht="12.75" customHeight="1" x14ac:dyDescent="0.3">
      <c r="A117" s="108" t="s">
        <v>156</v>
      </c>
      <c r="B117" s="70">
        <f t="shared" ref="B117:K117" si="18">+B109+B110</f>
        <v>50259789.900000006</v>
      </c>
      <c r="C117" s="70">
        <f t="shared" si="18"/>
        <v>50259789.899999999</v>
      </c>
      <c r="D117" s="70">
        <f t="shared" si="18"/>
        <v>1865758.32</v>
      </c>
      <c r="E117" s="70">
        <f t="shared" si="18"/>
        <v>33643906.439999998</v>
      </c>
      <c r="F117" s="70">
        <f t="shared" si="18"/>
        <v>0</v>
      </c>
      <c r="G117" s="70">
        <f t="shared" si="18"/>
        <v>5391769.9999999991</v>
      </c>
      <c r="H117" s="70">
        <f t="shared" si="18"/>
        <v>24833314.969999999</v>
      </c>
      <c r="I117" s="70">
        <f t="shared" si="18"/>
        <v>0</v>
      </c>
      <c r="J117" s="70">
        <f t="shared" si="18"/>
        <v>7050067.7000000002</v>
      </c>
      <c r="K117" s="897">
        <f t="shared" si="18"/>
        <v>0</v>
      </c>
      <c r="L117" s="897"/>
    </row>
    <row r="118" spans="1:13" ht="14.65" customHeight="1" x14ac:dyDescent="0.3">
      <c r="A118" s="101" t="s">
        <v>157</v>
      </c>
      <c r="B118" s="76"/>
      <c r="C118" s="76"/>
      <c r="D118" s="76"/>
      <c r="E118" s="109">
        <f>IF($I$86-E117&lt;0,0,$I$86-E117)</f>
        <v>0</v>
      </c>
      <c r="F118" s="76"/>
      <c r="G118" s="76"/>
      <c r="H118" s="109">
        <f>IF($I$86-H117&lt;0,0,$I$86-H117)</f>
        <v>1874789.700000003</v>
      </c>
      <c r="I118" s="76"/>
      <c r="J118" s="109"/>
      <c r="K118" s="899"/>
      <c r="L118" s="899"/>
      <c r="M118" s="30"/>
    </row>
    <row r="119" spans="1:13" ht="12.75" customHeight="1" x14ac:dyDescent="0.3">
      <c r="A119" s="110" t="s">
        <v>158</v>
      </c>
      <c r="B119" s="111">
        <f>+B118+B117</f>
        <v>50259789.900000006</v>
      </c>
      <c r="C119" s="111">
        <f>+C118+C117</f>
        <v>50259789.899999999</v>
      </c>
      <c r="D119" s="111">
        <f>+D118+D117</f>
        <v>1865758.32</v>
      </c>
      <c r="E119" s="111">
        <f>+E118+E117</f>
        <v>33643906.439999998</v>
      </c>
      <c r="F119" s="76"/>
      <c r="G119" s="76"/>
      <c r="H119" s="111">
        <f>+H118+H117</f>
        <v>26708104.670000002</v>
      </c>
      <c r="I119" s="76"/>
      <c r="J119" s="111">
        <f>+J118+J117</f>
        <v>7050067.7000000002</v>
      </c>
      <c r="K119" s="899"/>
      <c r="L119" s="899"/>
      <c r="M119" s="112"/>
    </row>
    <row r="120" spans="1:13" ht="12.75" customHeight="1" x14ac:dyDescent="0.3">
      <c r="A120" s="91" t="s">
        <v>159</v>
      </c>
      <c r="B120" s="113"/>
      <c r="C120" s="113"/>
      <c r="D120" s="76"/>
      <c r="E120" s="113"/>
      <c r="F120" s="114">
        <f>+C120-E120</f>
        <v>0</v>
      </c>
      <c r="G120" s="76"/>
      <c r="H120" s="113"/>
      <c r="I120" s="114">
        <f>+C120-H120</f>
        <v>0</v>
      </c>
      <c r="J120" s="76"/>
      <c r="K120" s="899"/>
      <c r="L120" s="899"/>
      <c r="M120" s="98"/>
    </row>
    <row r="121" spans="1:13" ht="12.75" customHeight="1" x14ac:dyDescent="0.3">
      <c r="A121" s="912" t="s">
        <v>160</v>
      </c>
      <c r="B121" s="912"/>
      <c r="C121" s="912"/>
      <c r="D121" s="912"/>
      <c r="E121" s="912"/>
      <c r="F121" s="912"/>
      <c r="G121" s="912"/>
      <c r="H121" s="912"/>
      <c r="I121" s="912"/>
      <c r="J121" s="912"/>
      <c r="K121" s="912"/>
      <c r="L121" s="20"/>
      <c r="M121" s="112"/>
    </row>
    <row r="122" spans="1:13" ht="12.75" customHeight="1" x14ac:dyDescent="0.3">
      <c r="A122" s="913" t="s">
        <v>161</v>
      </c>
      <c r="B122" s="913"/>
      <c r="C122" s="913"/>
      <c r="D122" s="115"/>
      <c r="E122" s="115"/>
      <c r="F122" s="115"/>
      <c r="G122" s="115"/>
      <c r="H122" s="115"/>
      <c r="I122" s="115"/>
      <c r="J122" s="115"/>
      <c r="K122" s="115"/>
      <c r="L122" s="20"/>
    </row>
    <row r="123" spans="1:13" ht="12.75" customHeight="1" x14ac:dyDescent="0.3">
      <c r="A123" s="115"/>
      <c r="B123" s="115"/>
      <c r="C123" s="115"/>
      <c r="D123" s="115"/>
      <c r="E123" s="115"/>
      <c r="F123" s="115"/>
      <c r="G123" s="115"/>
      <c r="H123" s="116"/>
      <c r="I123" s="108"/>
      <c r="J123" s="115"/>
      <c r="K123" s="115"/>
      <c r="L123" s="20"/>
    </row>
    <row r="124" spans="1:13" s="119" customFormat="1" ht="11.25" customHeight="1" x14ac:dyDescent="0.3">
      <c r="A124" s="117"/>
      <c r="B124" s="883" t="s">
        <v>33</v>
      </c>
      <c r="C124" s="883"/>
      <c r="D124" s="883" t="s">
        <v>34</v>
      </c>
      <c r="E124" s="883"/>
      <c r="F124" s="914" t="s">
        <v>35</v>
      </c>
      <c r="G124" s="914"/>
      <c r="H124" s="914"/>
      <c r="I124" s="914"/>
      <c r="J124" s="914"/>
      <c r="K124" s="914"/>
      <c r="L124" s="118" t="s">
        <v>36</v>
      </c>
    </row>
    <row r="125" spans="1:13" ht="11.25" customHeight="1" x14ac:dyDescent="0.3">
      <c r="A125" s="120" t="s">
        <v>162</v>
      </c>
      <c r="B125" s="883"/>
      <c r="C125" s="883"/>
      <c r="D125" s="883"/>
      <c r="E125" s="883"/>
      <c r="F125" s="886" t="s">
        <v>37</v>
      </c>
      <c r="G125" s="886"/>
      <c r="H125" s="32" t="s">
        <v>38</v>
      </c>
      <c r="I125" s="887" t="s">
        <v>39</v>
      </c>
      <c r="J125" s="887"/>
      <c r="K125" s="33" t="s">
        <v>38</v>
      </c>
      <c r="L125" s="31"/>
    </row>
    <row r="126" spans="1:13" ht="11.25" customHeight="1" x14ac:dyDescent="0.3">
      <c r="A126" s="121"/>
      <c r="B126" s="122"/>
      <c r="C126" s="123"/>
      <c r="D126" s="888" t="s">
        <v>40</v>
      </c>
      <c r="E126" s="888"/>
      <c r="F126" s="888" t="s">
        <v>41</v>
      </c>
      <c r="G126" s="888"/>
      <c r="H126" s="35" t="s">
        <v>42</v>
      </c>
      <c r="I126" s="888" t="s">
        <v>43</v>
      </c>
      <c r="J126" s="888"/>
      <c r="K126" s="36" t="s">
        <v>44</v>
      </c>
      <c r="L126" s="34" t="s">
        <v>45</v>
      </c>
    </row>
    <row r="127" spans="1:13" ht="11.25" customHeight="1" x14ac:dyDescent="0.3">
      <c r="A127" s="124" t="s">
        <v>163</v>
      </c>
      <c r="B127" s="889">
        <f>+B128+B169</f>
        <v>0</v>
      </c>
      <c r="C127" s="889"/>
      <c r="D127" s="889">
        <f>+D128+D169</f>
        <v>0</v>
      </c>
      <c r="E127" s="889"/>
      <c r="F127" s="889">
        <f>+F128+F169</f>
        <v>0</v>
      </c>
      <c r="G127" s="889"/>
      <c r="H127" s="66">
        <f>IF($D127="",0,IF($D127=0,0,+F127/$D127))</f>
        <v>0</v>
      </c>
      <c r="I127" s="889">
        <f>+I128+I169</f>
        <v>0</v>
      </c>
      <c r="J127" s="889"/>
      <c r="K127" s="66">
        <f t="shared" ref="K127:K135" si="19">IF($D127="",0,IF($D127=0,0,+I127/$D127))</f>
        <v>0</v>
      </c>
      <c r="L127" s="39">
        <f t="shared" ref="L127:L184" si="20">+D127-I127</f>
        <v>0</v>
      </c>
    </row>
    <row r="128" spans="1:13" ht="11.25" customHeight="1" x14ac:dyDescent="0.3">
      <c r="A128" s="40" t="s">
        <v>47</v>
      </c>
      <c r="B128" s="890">
        <f>+B129+B133+B138+B147+B148+B149+B155+B164</f>
        <v>0</v>
      </c>
      <c r="C128" s="890"/>
      <c r="D128" s="890">
        <f>+D129+D133+D138+D147+D148+D149+D155+D164</f>
        <v>0</v>
      </c>
      <c r="E128" s="890"/>
      <c r="F128" s="890">
        <f>+F129+F133+F138+F147+F148+F149+F155+F164</f>
        <v>0</v>
      </c>
      <c r="G128" s="890"/>
      <c r="H128" s="125">
        <f>IF($D128="",0,IF($D128=0,0,+F128/$D128))</f>
        <v>0</v>
      </c>
      <c r="I128" s="890">
        <f>+I129+I133+I138+I147+I148+I149+I155+I164</f>
        <v>0</v>
      </c>
      <c r="J128" s="890"/>
      <c r="K128" s="41">
        <f t="shared" si="19"/>
        <v>0</v>
      </c>
      <c r="L128" s="42">
        <f t="shared" si="20"/>
        <v>0</v>
      </c>
    </row>
    <row r="129" spans="1:12" ht="11.25" customHeight="1" x14ac:dyDescent="0.3">
      <c r="A129" s="43" t="s">
        <v>164</v>
      </c>
      <c r="B129" s="891">
        <f>SUM(B130:C132)</f>
        <v>0</v>
      </c>
      <c r="C129" s="891"/>
      <c r="D129" s="891">
        <f>SUM(D130:E132)</f>
        <v>0</v>
      </c>
      <c r="E129" s="891"/>
      <c r="F129" s="891">
        <f>SUM(F130:G132)</f>
        <v>0</v>
      </c>
      <c r="G129" s="891"/>
      <c r="H129" s="47">
        <f>IF($D129="",0,IF($D129=0,0,+F129/$D129))</f>
        <v>0</v>
      </c>
      <c r="I129" s="891">
        <f>SUM(I130:J132)</f>
        <v>0</v>
      </c>
      <c r="J129" s="891"/>
      <c r="K129" s="44">
        <f t="shared" si="19"/>
        <v>0</v>
      </c>
      <c r="L129" s="45">
        <f t="shared" si="20"/>
        <v>0</v>
      </c>
    </row>
    <row r="130" spans="1:12" ht="11.25" customHeight="1" x14ac:dyDescent="0.3">
      <c r="A130" s="46" t="s">
        <v>49</v>
      </c>
      <c r="B130" s="892"/>
      <c r="C130" s="892"/>
      <c r="D130" s="892"/>
      <c r="E130" s="892"/>
      <c r="F130" s="892"/>
      <c r="G130" s="892"/>
      <c r="H130" s="47">
        <f>IF($D130="",0,IF($D130=0,0,+F130/$D130))</f>
        <v>0</v>
      </c>
      <c r="I130" s="892"/>
      <c r="J130" s="892"/>
      <c r="K130" s="47">
        <f t="shared" si="19"/>
        <v>0</v>
      </c>
      <c r="L130" s="48">
        <f t="shared" si="20"/>
        <v>0</v>
      </c>
    </row>
    <row r="131" spans="1:12" ht="11.25" customHeight="1" x14ac:dyDescent="0.3">
      <c r="A131" s="46" t="s">
        <v>50</v>
      </c>
      <c r="B131" s="892"/>
      <c r="C131" s="892"/>
      <c r="D131" s="892"/>
      <c r="E131" s="892"/>
      <c r="F131" s="892"/>
      <c r="G131" s="892"/>
      <c r="H131" s="47">
        <f t="shared" ref="H131:H191" si="21">IF(D131="",0,IF(D131=0,0,+F131/D131))</f>
        <v>0</v>
      </c>
      <c r="I131" s="892"/>
      <c r="J131" s="892"/>
      <c r="K131" s="47">
        <f t="shared" si="19"/>
        <v>0</v>
      </c>
      <c r="L131" s="48">
        <f t="shared" si="20"/>
        <v>0</v>
      </c>
    </row>
    <row r="132" spans="1:12" ht="11.25" customHeight="1" x14ac:dyDescent="0.3">
      <c r="A132" s="46" t="s">
        <v>51</v>
      </c>
      <c r="B132" s="892"/>
      <c r="C132" s="892"/>
      <c r="D132" s="892"/>
      <c r="E132" s="892"/>
      <c r="F132" s="892"/>
      <c r="G132" s="892"/>
      <c r="H132" s="47">
        <f t="shared" si="21"/>
        <v>0</v>
      </c>
      <c r="I132" s="892"/>
      <c r="J132" s="892"/>
      <c r="K132" s="47">
        <f t="shared" si="19"/>
        <v>0</v>
      </c>
      <c r="L132" s="48">
        <f t="shared" si="20"/>
        <v>0</v>
      </c>
    </row>
    <row r="133" spans="1:12" ht="11.25" customHeight="1" x14ac:dyDescent="0.3">
      <c r="A133" s="49" t="s">
        <v>165</v>
      </c>
      <c r="B133" s="891">
        <f>SUM(B134:C137)</f>
        <v>0</v>
      </c>
      <c r="C133" s="891"/>
      <c r="D133" s="891">
        <f>SUM(D134:E137)</f>
        <v>0</v>
      </c>
      <c r="E133" s="891"/>
      <c r="F133" s="891">
        <f>SUM(F134:G137)</f>
        <v>0</v>
      </c>
      <c r="G133" s="891"/>
      <c r="H133" s="47">
        <f t="shared" si="21"/>
        <v>0</v>
      </c>
      <c r="I133" s="891">
        <f>SUM(I134:J137)</f>
        <v>0</v>
      </c>
      <c r="J133" s="891"/>
      <c r="K133" s="44">
        <f t="shared" si="19"/>
        <v>0</v>
      </c>
      <c r="L133" s="45">
        <f t="shared" si="20"/>
        <v>0</v>
      </c>
    </row>
    <row r="134" spans="1:12" ht="11.25" customHeight="1" x14ac:dyDescent="0.3">
      <c r="A134" s="46" t="s">
        <v>53</v>
      </c>
      <c r="B134" s="892"/>
      <c r="C134" s="892"/>
      <c r="D134" s="892"/>
      <c r="E134" s="892"/>
      <c r="F134" s="892"/>
      <c r="G134" s="892"/>
      <c r="H134" s="47">
        <f t="shared" si="21"/>
        <v>0</v>
      </c>
      <c r="I134" s="892"/>
      <c r="J134" s="892"/>
      <c r="K134" s="47">
        <f t="shared" si="19"/>
        <v>0</v>
      </c>
      <c r="L134" s="48">
        <f t="shared" si="20"/>
        <v>0</v>
      </c>
    </row>
    <row r="135" spans="1:12" ht="11.25" customHeight="1" x14ac:dyDescent="0.3">
      <c r="A135" s="46" t="s">
        <v>166</v>
      </c>
      <c r="B135" s="892"/>
      <c r="C135" s="892"/>
      <c r="D135" s="892"/>
      <c r="E135" s="892"/>
      <c r="F135" s="892"/>
      <c r="G135" s="892"/>
      <c r="H135" s="47">
        <f t="shared" si="21"/>
        <v>0</v>
      </c>
      <c r="I135" s="892"/>
      <c r="J135" s="892"/>
      <c r="K135" s="47">
        <f t="shared" si="19"/>
        <v>0</v>
      </c>
      <c r="L135" s="48">
        <f t="shared" si="20"/>
        <v>0</v>
      </c>
    </row>
    <row r="136" spans="1:12" ht="25.4" customHeight="1" x14ac:dyDescent="0.3">
      <c r="A136" s="51" t="s">
        <v>167</v>
      </c>
      <c r="B136" s="892"/>
      <c r="C136" s="892"/>
      <c r="D136" s="892"/>
      <c r="E136" s="892"/>
      <c r="F136" s="892"/>
      <c r="G136" s="892"/>
      <c r="H136" s="47">
        <f t="shared" si="21"/>
        <v>0</v>
      </c>
      <c r="I136" s="892"/>
      <c r="J136" s="892"/>
      <c r="K136" s="47">
        <v>0</v>
      </c>
      <c r="L136" s="48">
        <f t="shared" si="20"/>
        <v>0</v>
      </c>
    </row>
    <row r="137" spans="1:12" ht="11.25" customHeight="1" x14ac:dyDescent="0.3">
      <c r="A137" s="46" t="s">
        <v>168</v>
      </c>
      <c r="B137" s="892"/>
      <c r="C137" s="892"/>
      <c r="D137" s="892"/>
      <c r="E137" s="892"/>
      <c r="F137" s="892"/>
      <c r="G137" s="892"/>
      <c r="H137" s="47">
        <f t="shared" si="21"/>
        <v>0</v>
      </c>
      <c r="I137" s="892"/>
      <c r="J137" s="892"/>
      <c r="K137" s="47">
        <f t="shared" ref="K137:K144" si="22">IF($D137="",0,IF($D137=0,0,+I137/$D137))</f>
        <v>0</v>
      </c>
      <c r="L137" s="48">
        <f t="shared" si="20"/>
        <v>0</v>
      </c>
    </row>
    <row r="138" spans="1:12" ht="11.25" customHeight="1" x14ac:dyDescent="0.3">
      <c r="A138" s="49" t="s">
        <v>57</v>
      </c>
      <c r="B138" s="891">
        <f>SUM(B139:C146)</f>
        <v>0</v>
      </c>
      <c r="C138" s="891"/>
      <c r="D138" s="891">
        <f>SUM(D139:E146)</f>
        <v>0</v>
      </c>
      <c r="E138" s="891"/>
      <c r="F138" s="891">
        <f>SUM(F139:G146)</f>
        <v>0</v>
      </c>
      <c r="G138" s="891"/>
      <c r="H138" s="47">
        <f t="shared" si="21"/>
        <v>0</v>
      </c>
      <c r="I138" s="891">
        <f>SUM(I139:J146)</f>
        <v>0</v>
      </c>
      <c r="J138" s="891"/>
      <c r="K138" s="44">
        <f t="shared" si="22"/>
        <v>0</v>
      </c>
      <c r="L138" s="45">
        <f t="shared" si="20"/>
        <v>0</v>
      </c>
    </row>
    <row r="139" spans="1:12" ht="11.25" customHeight="1" x14ac:dyDescent="0.3">
      <c r="A139" s="46" t="s">
        <v>169</v>
      </c>
      <c r="B139" s="892"/>
      <c r="C139" s="892"/>
      <c r="D139" s="892"/>
      <c r="E139" s="892"/>
      <c r="F139" s="892"/>
      <c r="G139" s="892"/>
      <c r="H139" s="47">
        <f t="shared" si="21"/>
        <v>0</v>
      </c>
      <c r="I139" s="892"/>
      <c r="J139" s="892"/>
      <c r="K139" s="47">
        <f t="shared" si="22"/>
        <v>0</v>
      </c>
      <c r="L139" s="48">
        <f t="shared" si="20"/>
        <v>0</v>
      </c>
    </row>
    <row r="140" spans="1:12" ht="11.25" customHeight="1" x14ac:dyDescent="0.3">
      <c r="A140" s="46" t="s">
        <v>170</v>
      </c>
      <c r="B140" s="892"/>
      <c r="C140" s="892"/>
      <c r="D140" s="892"/>
      <c r="E140" s="892"/>
      <c r="F140" s="892"/>
      <c r="G140" s="892"/>
      <c r="H140" s="47">
        <f t="shared" si="21"/>
        <v>0</v>
      </c>
      <c r="I140" s="892"/>
      <c r="J140" s="892"/>
      <c r="K140" s="47">
        <f t="shared" si="22"/>
        <v>0</v>
      </c>
      <c r="L140" s="48">
        <f t="shared" si="20"/>
        <v>0</v>
      </c>
    </row>
    <row r="141" spans="1:12" ht="25.75" customHeight="1" x14ac:dyDescent="0.3">
      <c r="A141" s="51" t="s">
        <v>171</v>
      </c>
      <c r="B141" s="892"/>
      <c r="C141" s="892"/>
      <c r="D141" s="892"/>
      <c r="E141" s="892"/>
      <c r="F141" s="892"/>
      <c r="G141" s="892"/>
      <c r="H141" s="47">
        <f t="shared" si="21"/>
        <v>0</v>
      </c>
      <c r="I141" s="892"/>
      <c r="J141" s="892"/>
      <c r="K141" s="47">
        <f t="shared" si="22"/>
        <v>0</v>
      </c>
      <c r="L141" s="48">
        <f t="shared" si="20"/>
        <v>0</v>
      </c>
    </row>
    <row r="142" spans="1:12" ht="10.5" customHeight="1" x14ac:dyDescent="0.3">
      <c r="A142" s="46" t="s">
        <v>172</v>
      </c>
      <c r="B142" s="892"/>
      <c r="C142" s="892"/>
      <c r="D142" s="892"/>
      <c r="E142" s="892"/>
      <c r="F142" s="892"/>
      <c r="G142" s="892"/>
      <c r="H142" s="47">
        <f t="shared" si="21"/>
        <v>0</v>
      </c>
      <c r="I142" s="892"/>
      <c r="J142" s="892"/>
      <c r="K142" s="47">
        <f t="shared" si="22"/>
        <v>0</v>
      </c>
      <c r="L142" s="48">
        <f t="shared" si="20"/>
        <v>0</v>
      </c>
    </row>
    <row r="143" spans="1:12" s="126" customFormat="1" ht="24" customHeight="1" x14ac:dyDescent="0.3">
      <c r="A143" s="51" t="s">
        <v>173</v>
      </c>
      <c r="B143" s="893"/>
      <c r="C143" s="893"/>
      <c r="D143" s="893"/>
      <c r="E143" s="893"/>
      <c r="F143" s="893"/>
      <c r="G143" s="893"/>
      <c r="H143" s="54">
        <f t="shared" si="21"/>
        <v>0</v>
      </c>
      <c r="I143" s="893"/>
      <c r="J143" s="893"/>
      <c r="K143" s="54">
        <f t="shared" si="22"/>
        <v>0</v>
      </c>
      <c r="L143" s="55">
        <f t="shared" si="20"/>
        <v>0</v>
      </c>
    </row>
    <row r="144" spans="1:12" ht="14.65" customHeight="1" x14ac:dyDescent="0.3">
      <c r="A144" s="51" t="s">
        <v>174</v>
      </c>
      <c r="B144" s="892"/>
      <c r="C144" s="892"/>
      <c r="D144" s="892"/>
      <c r="E144" s="892"/>
      <c r="F144" s="892"/>
      <c r="G144" s="892"/>
      <c r="H144" s="47">
        <f t="shared" si="21"/>
        <v>0</v>
      </c>
      <c r="I144" s="892"/>
      <c r="J144" s="892"/>
      <c r="K144" s="47">
        <f t="shared" si="22"/>
        <v>0</v>
      </c>
      <c r="L144" s="48">
        <f t="shared" si="20"/>
        <v>0</v>
      </c>
    </row>
    <row r="145" spans="1:13" ht="14.65" customHeight="1" x14ac:dyDescent="0.3">
      <c r="A145" s="51" t="s">
        <v>63</v>
      </c>
      <c r="B145" s="892"/>
      <c r="C145" s="892"/>
      <c r="D145" s="892"/>
      <c r="E145" s="892"/>
      <c r="F145" s="892"/>
      <c r="G145" s="892"/>
      <c r="H145" s="47">
        <f t="shared" si="21"/>
        <v>0</v>
      </c>
      <c r="I145" s="892"/>
      <c r="J145" s="892"/>
      <c r="K145" s="47">
        <v>0</v>
      </c>
      <c r="L145" s="48">
        <f t="shared" si="20"/>
        <v>0</v>
      </c>
    </row>
    <row r="146" spans="1:13" ht="11.25" customHeight="1" x14ac:dyDescent="0.3">
      <c r="A146" s="46" t="s">
        <v>64</v>
      </c>
      <c r="B146" s="892"/>
      <c r="C146" s="892"/>
      <c r="D146" s="892"/>
      <c r="E146" s="892"/>
      <c r="F146" s="892"/>
      <c r="G146" s="892"/>
      <c r="H146" s="47">
        <f t="shared" si="21"/>
        <v>0</v>
      </c>
      <c r="I146" s="892"/>
      <c r="J146" s="892"/>
      <c r="K146" s="47">
        <f>IF($D146="",0,IF($D146=0,0,+I146/$D146))</f>
        <v>0</v>
      </c>
      <c r="L146" s="48">
        <f t="shared" si="20"/>
        <v>0</v>
      </c>
    </row>
    <row r="147" spans="1:13" ht="11.25" customHeight="1" x14ac:dyDescent="0.3">
      <c r="A147" s="49" t="s">
        <v>65</v>
      </c>
      <c r="B147" s="891">
        <v>0</v>
      </c>
      <c r="C147" s="891"/>
      <c r="D147" s="891">
        <v>0</v>
      </c>
      <c r="E147" s="891"/>
      <c r="F147" s="891">
        <v>0</v>
      </c>
      <c r="G147" s="891"/>
      <c r="H147" s="47">
        <f t="shared" si="21"/>
        <v>0</v>
      </c>
      <c r="I147" s="891">
        <v>0</v>
      </c>
      <c r="J147" s="891"/>
      <c r="K147" s="44">
        <v>0</v>
      </c>
      <c r="L147" s="48">
        <f t="shared" si="20"/>
        <v>0</v>
      </c>
    </row>
    <row r="148" spans="1:13" ht="11.25" customHeight="1" x14ac:dyDescent="0.3">
      <c r="A148" s="49" t="s">
        <v>66</v>
      </c>
      <c r="B148" s="891">
        <v>0</v>
      </c>
      <c r="C148" s="891"/>
      <c r="D148" s="891">
        <v>0</v>
      </c>
      <c r="E148" s="891"/>
      <c r="F148" s="891">
        <v>0</v>
      </c>
      <c r="G148" s="891"/>
      <c r="H148" s="47">
        <f t="shared" si="21"/>
        <v>0</v>
      </c>
      <c r="I148" s="891">
        <v>0</v>
      </c>
      <c r="J148" s="891"/>
      <c r="K148" s="44">
        <v>0</v>
      </c>
      <c r="L148" s="48">
        <f t="shared" si="20"/>
        <v>0</v>
      </c>
    </row>
    <row r="149" spans="1:13" ht="11.25" customHeight="1" x14ac:dyDescent="0.3">
      <c r="A149" s="49" t="s">
        <v>67</v>
      </c>
      <c r="B149" s="915">
        <f>SUM(B150:B154)</f>
        <v>0</v>
      </c>
      <c r="C149" s="915">
        <f>SUM(C150:C154)</f>
        <v>0</v>
      </c>
      <c r="D149" s="915">
        <f>SUM(D150:D154)</f>
        <v>0</v>
      </c>
      <c r="E149" s="915"/>
      <c r="F149" s="915">
        <f>SUM(F150:F154)</f>
        <v>0</v>
      </c>
      <c r="G149" s="915"/>
      <c r="H149" s="47">
        <f t="shared" si="21"/>
        <v>0</v>
      </c>
      <c r="I149" s="915">
        <f>SUM(I150:I154)</f>
        <v>0</v>
      </c>
      <c r="J149" s="915"/>
      <c r="K149" s="56">
        <f>IF($D149="",0,IF($D149=0,0,+I149/$D149))</f>
        <v>0</v>
      </c>
      <c r="L149" s="48">
        <f t="shared" si="20"/>
        <v>0</v>
      </c>
      <c r="M149" s="127"/>
    </row>
    <row r="150" spans="1:13" ht="11.25" customHeight="1" x14ac:dyDescent="0.3">
      <c r="A150" s="46" t="s">
        <v>175</v>
      </c>
      <c r="B150" s="892"/>
      <c r="C150" s="892"/>
      <c r="D150" s="892"/>
      <c r="E150" s="892"/>
      <c r="F150" s="892"/>
      <c r="G150" s="892"/>
      <c r="H150" s="47">
        <f t="shared" si="21"/>
        <v>0</v>
      </c>
      <c r="I150" s="892"/>
      <c r="J150" s="892"/>
      <c r="K150" s="44">
        <v>0</v>
      </c>
      <c r="L150" s="48">
        <f t="shared" si="20"/>
        <v>0</v>
      </c>
    </row>
    <row r="151" spans="1:13" ht="11.25" customHeight="1" x14ac:dyDescent="0.3">
      <c r="A151" s="46" t="s">
        <v>176</v>
      </c>
      <c r="B151" s="892"/>
      <c r="C151" s="892"/>
      <c r="D151" s="892"/>
      <c r="E151" s="892"/>
      <c r="F151" s="892"/>
      <c r="G151" s="892"/>
      <c r="H151" s="47">
        <f t="shared" si="21"/>
        <v>0</v>
      </c>
      <c r="I151" s="892"/>
      <c r="J151" s="892"/>
      <c r="K151" s="44">
        <v>0</v>
      </c>
      <c r="L151" s="48">
        <f t="shared" si="20"/>
        <v>0</v>
      </c>
    </row>
    <row r="152" spans="1:13" ht="11.25" customHeight="1" x14ac:dyDescent="0.3">
      <c r="A152" s="46" t="s">
        <v>177</v>
      </c>
      <c r="B152" s="892"/>
      <c r="C152" s="892"/>
      <c r="D152" s="892"/>
      <c r="E152" s="892"/>
      <c r="F152" s="892"/>
      <c r="G152" s="892"/>
      <c r="H152" s="47">
        <f t="shared" si="21"/>
        <v>0</v>
      </c>
      <c r="I152" s="892"/>
      <c r="J152" s="892"/>
      <c r="K152" s="44">
        <v>0</v>
      </c>
      <c r="L152" s="48">
        <f t="shared" si="20"/>
        <v>0</v>
      </c>
    </row>
    <row r="153" spans="1:13" ht="11.25" customHeight="1" x14ac:dyDescent="0.3">
      <c r="A153" s="46" t="s">
        <v>178</v>
      </c>
      <c r="B153" s="892"/>
      <c r="C153" s="892"/>
      <c r="D153" s="892"/>
      <c r="E153" s="892"/>
      <c r="F153" s="892"/>
      <c r="G153" s="892"/>
      <c r="H153" s="47">
        <f t="shared" si="21"/>
        <v>0</v>
      </c>
      <c r="I153" s="892"/>
      <c r="J153" s="892"/>
      <c r="K153" s="44">
        <v>0</v>
      </c>
      <c r="L153" s="48">
        <f t="shared" si="20"/>
        <v>0</v>
      </c>
    </row>
    <row r="154" spans="1:13" ht="11.25" customHeight="1" x14ac:dyDescent="0.3">
      <c r="A154" s="46" t="s">
        <v>179</v>
      </c>
      <c r="B154" s="892"/>
      <c r="C154" s="892"/>
      <c r="D154" s="892"/>
      <c r="E154" s="892"/>
      <c r="F154" s="892"/>
      <c r="G154" s="892"/>
      <c r="H154" s="47">
        <f t="shared" si="21"/>
        <v>0</v>
      </c>
      <c r="I154" s="892"/>
      <c r="J154" s="892"/>
      <c r="K154" s="44">
        <v>0</v>
      </c>
      <c r="L154" s="48">
        <f t="shared" si="20"/>
        <v>0</v>
      </c>
    </row>
    <row r="155" spans="1:13" ht="11.25" customHeight="1" x14ac:dyDescent="0.3">
      <c r="A155" s="49" t="s">
        <v>73</v>
      </c>
      <c r="B155" s="891">
        <f>SUM(B156:C163)</f>
        <v>0</v>
      </c>
      <c r="C155" s="891"/>
      <c r="D155" s="891">
        <f>SUM(D156:E163)</f>
        <v>0</v>
      </c>
      <c r="E155" s="891"/>
      <c r="F155" s="891">
        <f>SUM(F156:G163)</f>
        <v>0</v>
      </c>
      <c r="G155" s="891"/>
      <c r="H155" s="47">
        <f t="shared" si="21"/>
        <v>0</v>
      </c>
      <c r="I155" s="891">
        <f>SUM(I156:J163)</f>
        <v>0</v>
      </c>
      <c r="J155" s="891"/>
      <c r="K155" s="44">
        <f>IF($D155="",0,IF($D155=0,0,+I155/$D155))</f>
        <v>0</v>
      </c>
      <c r="L155" s="45">
        <f t="shared" si="20"/>
        <v>0</v>
      </c>
    </row>
    <row r="156" spans="1:13" ht="11.25" customHeight="1" x14ac:dyDescent="0.3">
      <c r="A156" s="46" t="s">
        <v>97</v>
      </c>
      <c r="B156" s="892"/>
      <c r="C156" s="892"/>
      <c r="D156" s="892"/>
      <c r="E156" s="892"/>
      <c r="F156" s="892"/>
      <c r="G156" s="892"/>
      <c r="H156" s="47">
        <f t="shared" si="21"/>
        <v>0</v>
      </c>
      <c r="I156" s="892"/>
      <c r="J156" s="892"/>
      <c r="K156" s="47">
        <f>IF($D156="",0,IF($D156=0,0,+I156/$D156))</f>
        <v>0</v>
      </c>
      <c r="L156" s="48">
        <f t="shared" si="20"/>
        <v>0</v>
      </c>
    </row>
    <row r="157" spans="1:13" ht="11.25" customHeight="1" x14ac:dyDescent="0.3">
      <c r="A157" s="128" t="s">
        <v>180</v>
      </c>
      <c r="B157" s="892"/>
      <c r="C157" s="892"/>
      <c r="D157" s="892"/>
      <c r="E157" s="892"/>
      <c r="F157" s="892"/>
      <c r="G157" s="892"/>
      <c r="H157" s="47">
        <f t="shared" si="21"/>
        <v>0</v>
      </c>
      <c r="I157" s="892"/>
      <c r="J157" s="892"/>
      <c r="K157" s="47">
        <f>IF($D157="",0,IF($D157=0,0,+I157/$D157))</f>
        <v>0</v>
      </c>
      <c r="L157" s="48">
        <f t="shared" si="20"/>
        <v>0</v>
      </c>
    </row>
    <row r="158" spans="1:13" ht="11.25" customHeight="1" x14ac:dyDescent="0.3">
      <c r="A158" s="128" t="s">
        <v>181</v>
      </c>
      <c r="B158" s="892"/>
      <c r="C158" s="892"/>
      <c r="D158" s="892"/>
      <c r="E158" s="892"/>
      <c r="F158" s="892"/>
      <c r="G158" s="892"/>
      <c r="H158" s="47">
        <f t="shared" si="21"/>
        <v>0</v>
      </c>
      <c r="I158" s="892"/>
      <c r="J158" s="892"/>
      <c r="K158" s="47">
        <f>IF($D158="",0,IF($D158=0,0,+I158/$D158))</f>
        <v>0</v>
      </c>
      <c r="L158" s="48">
        <f t="shared" si="20"/>
        <v>0</v>
      </c>
    </row>
    <row r="159" spans="1:13" ht="11.25" customHeight="1" x14ac:dyDescent="0.3">
      <c r="A159" s="46" t="s">
        <v>100</v>
      </c>
      <c r="B159" s="892"/>
      <c r="C159" s="892"/>
      <c r="D159" s="892"/>
      <c r="E159" s="892"/>
      <c r="F159" s="892"/>
      <c r="G159" s="892"/>
      <c r="H159" s="47">
        <f t="shared" si="21"/>
        <v>0</v>
      </c>
      <c r="I159" s="892"/>
      <c r="J159" s="892"/>
      <c r="K159" s="47">
        <f>IF($D159="",0,IF($D159=0,0,+I159/$D159))</f>
        <v>0</v>
      </c>
      <c r="L159" s="48">
        <f t="shared" si="20"/>
        <v>0</v>
      </c>
    </row>
    <row r="160" spans="1:13" ht="11.25" customHeight="1" x14ac:dyDescent="0.3">
      <c r="A160" s="46" t="s">
        <v>182</v>
      </c>
      <c r="B160" s="892"/>
      <c r="C160" s="892"/>
      <c r="D160" s="892"/>
      <c r="E160" s="892"/>
      <c r="F160" s="892"/>
      <c r="G160" s="892"/>
      <c r="H160" s="47">
        <f t="shared" si="21"/>
        <v>0</v>
      </c>
      <c r="I160" s="892"/>
      <c r="J160" s="892"/>
      <c r="K160" s="47">
        <v>0</v>
      </c>
      <c r="L160" s="48">
        <f t="shared" si="20"/>
        <v>0</v>
      </c>
    </row>
    <row r="161" spans="1:12" ht="11.25" customHeight="1" x14ac:dyDescent="0.3">
      <c r="A161" s="46" t="s">
        <v>183</v>
      </c>
      <c r="B161" s="892"/>
      <c r="C161" s="892"/>
      <c r="D161" s="892"/>
      <c r="E161" s="892"/>
      <c r="F161" s="892"/>
      <c r="G161" s="892"/>
      <c r="H161" s="47">
        <f t="shared" si="21"/>
        <v>0</v>
      </c>
      <c r="I161" s="892"/>
      <c r="J161" s="892"/>
      <c r="K161" s="47">
        <v>0</v>
      </c>
      <c r="L161" s="48">
        <f t="shared" si="20"/>
        <v>0</v>
      </c>
    </row>
    <row r="162" spans="1:12" ht="11.25" customHeight="1" x14ac:dyDescent="0.3">
      <c r="A162" s="46" t="s">
        <v>103</v>
      </c>
      <c r="B162" s="892"/>
      <c r="C162" s="892"/>
      <c r="D162" s="892"/>
      <c r="E162" s="892"/>
      <c r="F162" s="892"/>
      <c r="G162" s="892"/>
      <c r="H162" s="47">
        <f t="shared" si="21"/>
        <v>0</v>
      </c>
      <c r="I162" s="892"/>
      <c r="J162" s="892"/>
      <c r="K162" s="47">
        <f t="shared" ref="K162:K174" si="23">IF($D162="",0,IF($D162=0,0,+I162/$D162))</f>
        <v>0</v>
      </c>
      <c r="L162" s="48">
        <f t="shared" si="20"/>
        <v>0</v>
      </c>
    </row>
    <row r="163" spans="1:12" ht="11.25" customHeight="1" x14ac:dyDescent="0.3">
      <c r="A163" s="129" t="s">
        <v>104</v>
      </c>
      <c r="B163" s="892"/>
      <c r="C163" s="892"/>
      <c r="D163" s="892"/>
      <c r="E163" s="892"/>
      <c r="F163" s="892"/>
      <c r="G163" s="892"/>
      <c r="H163" s="47">
        <f t="shared" si="21"/>
        <v>0</v>
      </c>
      <c r="I163" s="892"/>
      <c r="J163" s="892"/>
      <c r="K163" s="47">
        <f t="shared" si="23"/>
        <v>0</v>
      </c>
      <c r="L163" s="48">
        <f t="shared" si="20"/>
        <v>0</v>
      </c>
    </row>
    <row r="164" spans="1:12" ht="11.25" customHeight="1" x14ac:dyDescent="0.3">
      <c r="A164" s="49" t="s">
        <v>82</v>
      </c>
      <c r="B164" s="891">
        <f>SUM(B165:C168)</f>
        <v>0</v>
      </c>
      <c r="C164" s="891"/>
      <c r="D164" s="891">
        <f>SUM(D165:E168)</f>
        <v>0</v>
      </c>
      <c r="E164" s="891"/>
      <c r="F164" s="891">
        <f>SUM(F165:G168)</f>
        <v>0</v>
      </c>
      <c r="G164" s="891"/>
      <c r="H164" s="47">
        <f t="shared" si="21"/>
        <v>0</v>
      </c>
      <c r="I164" s="891">
        <f>SUM(I165:J168)</f>
        <v>0</v>
      </c>
      <c r="J164" s="891"/>
      <c r="K164" s="44">
        <f t="shared" si="23"/>
        <v>0</v>
      </c>
      <c r="L164" s="45">
        <f t="shared" si="20"/>
        <v>0</v>
      </c>
    </row>
    <row r="165" spans="1:12" ht="11.25" customHeight="1" x14ac:dyDescent="0.3">
      <c r="A165" s="46" t="s">
        <v>184</v>
      </c>
      <c r="B165" s="892"/>
      <c r="C165" s="892"/>
      <c r="D165" s="892"/>
      <c r="E165" s="892"/>
      <c r="F165" s="892"/>
      <c r="G165" s="892"/>
      <c r="H165" s="47">
        <f t="shared" si="21"/>
        <v>0</v>
      </c>
      <c r="I165" s="892"/>
      <c r="J165" s="892"/>
      <c r="K165" s="47">
        <f t="shared" si="23"/>
        <v>0</v>
      </c>
      <c r="L165" s="48">
        <f t="shared" si="20"/>
        <v>0</v>
      </c>
    </row>
    <row r="166" spans="1:12" ht="11.25" customHeight="1" x14ac:dyDescent="0.3">
      <c r="A166" s="46" t="s">
        <v>84</v>
      </c>
      <c r="B166" s="892"/>
      <c r="C166" s="892"/>
      <c r="D166" s="892"/>
      <c r="E166" s="892"/>
      <c r="F166" s="892"/>
      <c r="G166" s="892"/>
      <c r="H166" s="47">
        <f t="shared" si="21"/>
        <v>0</v>
      </c>
      <c r="I166" s="892"/>
      <c r="J166" s="892"/>
      <c r="K166" s="47">
        <f t="shared" si="23"/>
        <v>0</v>
      </c>
      <c r="L166" s="48">
        <f t="shared" si="20"/>
        <v>0</v>
      </c>
    </row>
    <row r="167" spans="1:12" ht="11.25" customHeight="1" x14ac:dyDescent="0.3">
      <c r="A167" s="46" t="s">
        <v>85</v>
      </c>
      <c r="B167" s="892"/>
      <c r="C167" s="892"/>
      <c r="D167" s="892"/>
      <c r="E167" s="892"/>
      <c r="F167" s="892"/>
      <c r="G167" s="892"/>
      <c r="H167" s="47">
        <f t="shared" si="21"/>
        <v>0</v>
      </c>
      <c r="I167" s="892"/>
      <c r="J167" s="892"/>
      <c r="K167" s="47">
        <f t="shared" si="23"/>
        <v>0</v>
      </c>
      <c r="L167" s="48">
        <f t="shared" si="20"/>
        <v>0</v>
      </c>
    </row>
    <row r="168" spans="1:12" ht="12.75" customHeight="1" x14ac:dyDescent="0.3">
      <c r="A168" s="51" t="s">
        <v>185</v>
      </c>
      <c r="B168" s="893"/>
      <c r="C168" s="893"/>
      <c r="D168" s="893"/>
      <c r="E168" s="893"/>
      <c r="F168" s="893"/>
      <c r="G168" s="893"/>
      <c r="H168" s="54">
        <f t="shared" si="21"/>
        <v>0</v>
      </c>
      <c r="I168" s="893"/>
      <c r="J168" s="893"/>
      <c r="K168" s="54">
        <f t="shared" si="23"/>
        <v>0</v>
      </c>
      <c r="L168" s="55">
        <f t="shared" si="20"/>
        <v>0</v>
      </c>
    </row>
    <row r="169" spans="1:12" ht="11.25" customHeight="1" x14ac:dyDescent="0.3">
      <c r="A169" s="40" t="s">
        <v>87</v>
      </c>
      <c r="B169" s="890">
        <f>+B170+B173+B177+B178+B187</f>
        <v>0</v>
      </c>
      <c r="C169" s="890"/>
      <c r="D169" s="890">
        <f>+D170+D173+D177+D178+D187</f>
        <v>0</v>
      </c>
      <c r="E169" s="890"/>
      <c r="F169" s="890">
        <f>+F170+F173+F177+F178+F187</f>
        <v>0</v>
      </c>
      <c r="G169" s="890"/>
      <c r="H169" s="125">
        <f t="shared" si="21"/>
        <v>0</v>
      </c>
      <c r="I169" s="890">
        <f>+I170+I173+I177+I178+I187</f>
        <v>0</v>
      </c>
      <c r="J169" s="890"/>
      <c r="K169" s="41">
        <f t="shared" si="23"/>
        <v>0</v>
      </c>
      <c r="L169" s="42">
        <f t="shared" si="20"/>
        <v>0</v>
      </c>
    </row>
    <row r="170" spans="1:12" ht="11.25" customHeight="1" x14ac:dyDescent="0.3">
      <c r="A170" s="49" t="s">
        <v>88</v>
      </c>
      <c r="B170" s="891">
        <f>SUM(B171:C172)</f>
        <v>0</v>
      </c>
      <c r="C170" s="891"/>
      <c r="D170" s="891">
        <f>SUM(D171:E172)</f>
        <v>0</v>
      </c>
      <c r="E170" s="891"/>
      <c r="F170" s="891">
        <f>SUM(F171:G172)</f>
        <v>0</v>
      </c>
      <c r="G170" s="891"/>
      <c r="H170" s="47">
        <f t="shared" si="21"/>
        <v>0</v>
      </c>
      <c r="I170" s="891">
        <f>SUM(I171:J172)</f>
        <v>0</v>
      </c>
      <c r="J170" s="891"/>
      <c r="K170" s="44">
        <f t="shared" si="23"/>
        <v>0</v>
      </c>
      <c r="L170" s="45">
        <f t="shared" si="20"/>
        <v>0</v>
      </c>
    </row>
    <row r="171" spans="1:12" ht="11.25" customHeight="1" x14ac:dyDescent="0.3">
      <c r="A171" s="46" t="s">
        <v>186</v>
      </c>
      <c r="B171" s="892"/>
      <c r="C171" s="892"/>
      <c r="D171" s="892"/>
      <c r="E171" s="892"/>
      <c r="F171" s="892"/>
      <c r="G171" s="892"/>
      <c r="H171" s="47">
        <f t="shared" si="21"/>
        <v>0</v>
      </c>
      <c r="I171" s="892"/>
      <c r="J171" s="892"/>
      <c r="K171" s="47">
        <f t="shared" si="23"/>
        <v>0</v>
      </c>
      <c r="L171" s="48">
        <f t="shared" si="20"/>
        <v>0</v>
      </c>
    </row>
    <row r="172" spans="1:12" ht="11.25" customHeight="1" x14ac:dyDescent="0.3">
      <c r="A172" s="46" t="s">
        <v>187</v>
      </c>
      <c r="B172" s="892"/>
      <c r="C172" s="892"/>
      <c r="D172" s="892"/>
      <c r="E172" s="892"/>
      <c r="F172" s="892"/>
      <c r="G172" s="892"/>
      <c r="H172" s="47">
        <f t="shared" si="21"/>
        <v>0</v>
      </c>
      <c r="I172" s="892"/>
      <c r="J172" s="892"/>
      <c r="K172" s="47">
        <f t="shared" si="23"/>
        <v>0</v>
      </c>
      <c r="L172" s="48">
        <f t="shared" si="20"/>
        <v>0</v>
      </c>
    </row>
    <row r="173" spans="1:12" ht="11.25" customHeight="1" x14ac:dyDescent="0.3">
      <c r="A173" s="49" t="s">
        <v>91</v>
      </c>
      <c r="B173" s="891">
        <f>SUM(B174:C176)</f>
        <v>0</v>
      </c>
      <c r="C173" s="891"/>
      <c r="D173" s="891">
        <f>SUM(D174:E176)</f>
        <v>0</v>
      </c>
      <c r="E173" s="891"/>
      <c r="F173" s="891">
        <f>SUM(F174:G176)</f>
        <v>0</v>
      </c>
      <c r="G173" s="891"/>
      <c r="H173" s="47">
        <f t="shared" si="21"/>
        <v>0</v>
      </c>
      <c r="I173" s="891">
        <f>SUM(I174:J176)</f>
        <v>0</v>
      </c>
      <c r="J173" s="891"/>
      <c r="K173" s="44">
        <f t="shared" si="23"/>
        <v>0</v>
      </c>
      <c r="L173" s="45">
        <f t="shared" si="20"/>
        <v>0</v>
      </c>
    </row>
    <row r="174" spans="1:12" ht="11.25" customHeight="1" x14ac:dyDescent="0.3">
      <c r="A174" s="46" t="s">
        <v>92</v>
      </c>
      <c r="B174" s="892"/>
      <c r="C174" s="892"/>
      <c r="D174" s="892"/>
      <c r="E174" s="892"/>
      <c r="F174" s="892"/>
      <c r="G174" s="892"/>
      <c r="H174" s="47">
        <f t="shared" si="21"/>
        <v>0</v>
      </c>
      <c r="I174" s="892"/>
      <c r="J174" s="892"/>
      <c r="K174" s="47">
        <f t="shared" si="23"/>
        <v>0</v>
      </c>
      <c r="L174" s="48">
        <f t="shared" si="20"/>
        <v>0</v>
      </c>
    </row>
    <row r="175" spans="1:12" ht="11.25" customHeight="1" x14ac:dyDescent="0.3">
      <c r="A175" s="46" t="s">
        <v>93</v>
      </c>
      <c r="B175" s="892"/>
      <c r="C175" s="892"/>
      <c r="D175" s="892"/>
      <c r="E175" s="892"/>
      <c r="F175" s="892"/>
      <c r="G175" s="892"/>
      <c r="H175" s="47">
        <f t="shared" si="21"/>
        <v>0</v>
      </c>
      <c r="I175" s="892"/>
      <c r="J175" s="892"/>
      <c r="K175" s="47">
        <v>0</v>
      </c>
      <c r="L175" s="48">
        <f t="shared" si="20"/>
        <v>0</v>
      </c>
    </row>
    <row r="176" spans="1:12" ht="11.25" customHeight="1" x14ac:dyDescent="0.3">
      <c r="A176" s="46" t="s">
        <v>94</v>
      </c>
      <c r="B176" s="892"/>
      <c r="C176" s="892"/>
      <c r="D176" s="892"/>
      <c r="E176" s="892"/>
      <c r="F176" s="892"/>
      <c r="G176" s="892"/>
      <c r="H176" s="47">
        <f t="shared" si="21"/>
        <v>0</v>
      </c>
      <c r="I176" s="892"/>
      <c r="J176" s="892"/>
      <c r="K176" s="47">
        <f t="shared" ref="K176:K184" si="24">IF($D176="",0,IF($D176=0,0,+I176/$D176))</f>
        <v>0</v>
      </c>
      <c r="L176" s="48">
        <f t="shared" si="20"/>
        <v>0</v>
      </c>
    </row>
    <row r="177" spans="1:12" ht="11.25" customHeight="1" x14ac:dyDescent="0.3">
      <c r="A177" s="49" t="s">
        <v>95</v>
      </c>
      <c r="B177" s="891"/>
      <c r="C177" s="891"/>
      <c r="D177" s="891"/>
      <c r="E177" s="891"/>
      <c r="F177" s="891"/>
      <c r="G177" s="891"/>
      <c r="H177" s="47">
        <f t="shared" si="21"/>
        <v>0</v>
      </c>
      <c r="I177" s="891"/>
      <c r="J177" s="891"/>
      <c r="K177" s="44">
        <f t="shared" si="24"/>
        <v>0</v>
      </c>
      <c r="L177" s="45">
        <f t="shared" si="20"/>
        <v>0</v>
      </c>
    </row>
    <row r="178" spans="1:12" ht="11.25" customHeight="1" x14ac:dyDescent="0.3">
      <c r="A178" s="49" t="s">
        <v>96</v>
      </c>
      <c r="B178" s="891">
        <f>SUM(B179:C186)</f>
        <v>0</v>
      </c>
      <c r="C178" s="891"/>
      <c r="D178" s="891">
        <f>SUM(D179:E186)</f>
        <v>0</v>
      </c>
      <c r="E178" s="891"/>
      <c r="F178" s="891">
        <f>SUM(F179:G186)</f>
        <v>0</v>
      </c>
      <c r="G178" s="891"/>
      <c r="H178" s="47">
        <f t="shared" si="21"/>
        <v>0</v>
      </c>
      <c r="I178" s="891">
        <f>SUM(I179:J186)</f>
        <v>0</v>
      </c>
      <c r="J178" s="891"/>
      <c r="K178" s="44">
        <f t="shared" si="24"/>
        <v>0</v>
      </c>
      <c r="L178" s="45">
        <f t="shared" si="20"/>
        <v>0</v>
      </c>
    </row>
    <row r="179" spans="1:12" ht="11.25" customHeight="1" x14ac:dyDescent="0.3">
      <c r="A179" s="46" t="s">
        <v>97</v>
      </c>
      <c r="B179" s="892"/>
      <c r="C179" s="892"/>
      <c r="D179" s="892"/>
      <c r="E179" s="892"/>
      <c r="F179" s="892"/>
      <c r="G179" s="892"/>
      <c r="H179" s="47">
        <f t="shared" si="21"/>
        <v>0</v>
      </c>
      <c r="I179" s="892"/>
      <c r="J179" s="892"/>
      <c r="K179" s="47">
        <f t="shared" si="24"/>
        <v>0</v>
      </c>
      <c r="L179" s="48">
        <f t="shared" si="20"/>
        <v>0</v>
      </c>
    </row>
    <row r="180" spans="1:12" ht="11.25" customHeight="1" x14ac:dyDescent="0.3">
      <c r="A180" s="46" t="s">
        <v>75</v>
      </c>
      <c r="B180" s="892"/>
      <c r="C180" s="892"/>
      <c r="D180" s="892"/>
      <c r="E180" s="892"/>
      <c r="F180" s="892"/>
      <c r="G180" s="892"/>
      <c r="H180" s="47">
        <f t="shared" si="21"/>
        <v>0</v>
      </c>
      <c r="I180" s="892"/>
      <c r="J180" s="892"/>
      <c r="K180" s="47">
        <f t="shared" si="24"/>
        <v>0</v>
      </c>
      <c r="L180" s="48">
        <f t="shared" si="20"/>
        <v>0</v>
      </c>
    </row>
    <row r="181" spans="1:12" ht="11.25" customHeight="1" x14ac:dyDescent="0.3">
      <c r="A181" s="46" t="s">
        <v>99</v>
      </c>
      <c r="B181" s="892"/>
      <c r="C181" s="892"/>
      <c r="D181" s="892"/>
      <c r="E181" s="892"/>
      <c r="F181" s="892"/>
      <c r="G181" s="892"/>
      <c r="H181" s="47">
        <f t="shared" si="21"/>
        <v>0</v>
      </c>
      <c r="I181" s="892"/>
      <c r="J181" s="892"/>
      <c r="K181" s="47">
        <f t="shared" si="24"/>
        <v>0</v>
      </c>
      <c r="L181" s="48">
        <f t="shared" si="20"/>
        <v>0</v>
      </c>
    </row>
    <row r="182" spans="1:12" ht="11.25" customHeight="1" x14ac:dyDescent="0.3">
      <c r="A182" s="46" t="s">
        <v>188</v>
      </c>
      <c r="B182" s="892"/>
      <c r="C182" s="892"/>
      <c r="D182" s="892"/>
      <c r="E182" s="892"/>
      <c r="F182" s="892"/>
      <c r="G182" s="892"/>
      <c r="H182" s="47">
        <f t="shared" si="21"/>
        <v>0</v>
      </c>
      <c r="I182" s="892"/>
      <c r="J182" s="892"/>
      <c r="K182" s="47">
        <f t="shared" si="24"/>
        <v>0</v>
      </c>
      <c r="L182" s="48">
        <f t="shared" si="20"/>
        <v>0</v>
      </c>
    </row>
    <row r="183" spans="1:12" ht="11.25" customHeight="1" x14ac:dyDescent="0.3">
      <c r="A183" s="62" t="s">
        <v>101</v>
      </c>
      <c r="B183" s="892"/>
      <c r="C183" s="892"/>
      <c r="D183" s="892"/>
      <c r="E183" s="892"/>
      <c r="F183" s="892"/>
      <c r="G183" s="892"/>
      <c r="H183" s="47">
        <f t="shared" si="21"/>
        <v>0</v>
      </c>
      <c r="I183" s="892"/>
      <c r="J183" s="892"/>
      <c r="K183" s="47">
        <f t="shared" si="24"/>
        <v>0</v>
      </c>
      <c r="L183" s="48">
        <f t="shared" si="20"/>
        <v>0</v>
      </c>
    </row>
    <row r="184" spans="1:12" ht="14.65" customHeight="1" x14ac:dyDescent="0.3">
      <c r="A184" s="62" t="s">
        <v>189</v>
      </c>
      <c r="B184" s="892"/>
      <c r="C184" s="892"/>
      <c r="D184" s="892"/>
      <c r="E184" s="892"/>
      <c r="F184" s="892"/>
      <c r="G184" s="892"/>
      <c r="H184" s="47">
        <f t="shared" si="21"/>
        <v>0</v>
      </c>
      <c r="I184" s="892"/>
      <c r="J184" s="892"/>
      <c r="K184" s="47">
        <f t="shared" si="24"/>
        <v>0</v>
      </c>
      <c r="L184" s="48">
        <f t="shared" si="20"/>
        <v>0</v>
      </c>
    </row>
    <row r="185" spans="1:12" ht="14.65" customHeight="1" x14ac:dyDescent="0.3">
      <c r="A185" s="62" t="s">
        <v>190</v>
      </c>
      <c r="B185" s="892"/>
      <c r="C185" s="892"/>
      <c r="D185" s="892"/>
      <c r="E185" s="892"/>
      <c r="F185" s="892"/>
      <c r="G185" s="892"/>
      <c r="H185" s="47">
        <f t="shared" si="21"/>
        <v>0</v>
      </c>
      <c r="I185" s="892"/>
      <c r="J185" s="892"/>
      <c r="K185" s="47">
        <v>0</v>
      </c>
      <c r="L185" s="48">
        <v>0</v>
      </c>
    </row>
    <row r="186" spans="1:12" ht="14.65" customHeight="1" x14ac:dyDescent="0.3">
      <c r="A186" s="62" t="s">
        <v>104</v>
      </c>
      <c r="B186" s="892"/>
      <c r="C186" s="892"/>
      <c r="D186" s="892"/>
      <c r="E186" s="892"/>
      <c r="F186" s="892"/>
      <c r="G186" s="892"/>
      <c r="H186" s="47">
        <f t="shared" si="21"/>
        <v>0</v>
      </c>
      <c r="I186" s="892"/>
      <c r="J186" s="892"/>
      <c r="K186" s="47">
        <f>IF($D186="",0,IF($D186=0,0,+I186/$D186))</f>
        <v>0</v>
      </c>
      <c r="L186" s="48">
        <f t="shared" ref="L186:L191" si="25">+D186-I186</f>
        <v>0</v>
      </c>
    </row>
    <row r="187" spans="1:12" ht="11.25" customHeight="1" x14ac:dyDescent="0.3">
      <c r="A187" s="49" t="s">
        <v>105</v>
      </c>
      <c r="B187" s="891">
        <f>SUM(B188:C191)</f>
        <v>0</v>
      </c>
      <c r="C187" s="891"/>
      <c r="D187" s="891">
        <f>SUM(D188:E191)</f>
        <v>0</v>
      </c>
      <c r="E187" s="891"/>
      <c r="F187" s="891">
        <f>SUM(F188:G191)</f>
        <v>0</v>
      </c>
      <c r="G187" s="891"/>
      <c r="H187" s="47">
        <f t="shared" si="21"/>
        <v>0</v>
      </c>
      <c r="I187" s="891">
        <f>SUM(I188:J191)</f>
        <v>0</v>
      </c>
      <c r="J187" s="891"/>
      <c r="K187" s="44">
        <f>IF($D187="",0,IF($D187=0,0,+I187/$D187))</f>
        <v>0</v>
      </c>
      <c r="L187" s="45">
        <f t="shared" si="25"/>
        <v>0</v>
      </c>
    </row>
    <row r="188" spans="1:12" ht="11.25" customHeight="1" x14ac:dyDescent="0.3">
      <c r="A188" s="46" t="s">
        <v>106</v>
      </c>
      <c r="B188" s="892"/>
      <c r="C188" s="892"/>
      <c r="D188" s="892"/>
      <c r="E188" s="892"/>
      <c r="F188" s="892"/>
      <c r="G188" s="892"/>
      <c r="H188" s="47">
        <f t="shared" si="21"/>
        <v>0</v>
      </c>
      <c r="I188" s="892"/>
      <c r="J188" s="892"/>
      <c r="K188" s="47">
        <f>IF($D188="",0,IF($D188=0,0,+I188/$D188))</f>
        <v>0</v>
      </c>
      <c r="L188" s="48">
        <f t="shared" si="25"/>
        <v>0</v>
      </c>
    </row>
    <row r="189" spans="1:12" ht="14.65" customHeight="1" x14ac:dyDescent="0.3">
      <c r="A189" s="62" t="s">
        <v>191</v>
      </c>
      <c r="B189" s="892"/>
      <c r="C189" s="892"/>
      <c r="D189" s="892"/>
      <c r="E189" s="892"/>
      <c r="F189" s="892"/>
      <c r="G189" s="892"/>
      <c r="H189" s="47">
        <f t="shared" si="21"/>
        <v>0</v>
      </c>
      <c r="I189" s="892"/>
      <c r="J189" s="892"/>
      <c r="K189" s="47">
        <f>IF($D189="",0,IF($D189=0,0,+I189/$D189))</f>
        <v>0</v>
      </c>
      <c r="L189" s="48">
        <f t="shared" si="25"/>
        <v>0</v>
      </c>
    </row>
    <row r="190" spans="1:12" ht="14.65" customHeight="1" x14ac:dyDescent="0.3">
      <c r="A190" s="62" t="s">
        <v>192</v>
      </c>
      <c r="B190" s="63"/>
      <c r="C190" s="64"/>
      <c r="D190" s="63"/>
      <c r="E190" s="64"/>
      <c r="F190" s="63"/>
      <c r="G190" s="64"/>
      <c r="H190" s="47">
        <f t="shared" si="21"/>
        <v>0</v>
      </c>
      <c r="I190" s="63"/>
      <c r="J190" s="64"/>
      <c r="K190" s="47">
        <f>IF(D190="",0,IF(D190=0,0,I190/D190))</f>
        <v>0</v>
      </c>
      <c r="L190" s="48">
        <f t="shared" si="25"/>
        <v>0</v>
      </c>
    </row>
    <row r="191" spans="1:12" ht="14.65" customHeight="1" x14ac:dyDescent="0.3">
      <c r="A191" s="62" t="s">
        <v>193</v>
      </c>
      <c r="B191" s="63"/>
      <c r="C191" s="64"/>
      <c r="D191" s="63"/>
      <c r="E191" s="64"/>
      <c r="F191" s="63"/>
      <c r="G191" s="64"/>
      <c r="H191" s="47">
        <f t="shared" si="21"/>
        <v>0</v>
      </c>
      <c r="I191" s="63"/>
      <c r="J191" s="64"/>
      <c r="K191" s="47">
        <f>IF(D191="",0,IF(D191=0,0,I191/D191))</f>
        <v>0</v>
      </c>
      <c r="L191" s="48">
        <f t="shared" si="25"/>
        <v>0</v>
      </c>
    </row>
    <row r="192" spans="1:12" ht="11.25" customHeight="1" x14ac:dyDescent="0.3">
      <c r="A192" s="916" t="s">
        <v>194</v>
      </c>
      <c r="B192" s="904" t="s">
        <v>124</v>
      </c>
      <c r="C192" s="904" t="s">
        <v>125</v>
      </c>
      <c r="D192" s="908" t="s">
        <v>126</v>
      </c>
      <c r="E192" s="908"/>
      <c r="F192" s="906" t="s">
        <v>36</v>
      </c>
      <c r="G192" s="905" t="s">
        <v>127</v>
      </c>
      <c r="H192" s="905"/>
      <c r="I192" s="906" t="s">
        <v>36</v>
      </c>
      <c r="J192" s="904" t="s">
        <v>128</v>
      </c>
      <c r="K192" s="907" t="s">
        <v>195</v>
      </c>
      <c r="L192" s="907"/>
    </row>
    <row r="193" spans="1:12" ht="26.25" customHeight="1" x14ac:dyDescent="0.3">
      <c r="A193" s="916"/>
      <c r="B193" s="904"/>
      <c r="C193" s="904"/>
      <c r="D193" s="908" t="s">
        <v>37</v>
      </c>
      <c r="E193" s="130" t="s">
        <v>196</v>
      </c>
      <c r="F193" s="906"/>
      <c r="G193" s="908" t="s">
        <v>37</v>
      </c>
      <c r="H193" s="130" t="s">
        <v>196</v>
      </c>
      <c r="I193" s="906"/>
      <c r="J193" s="904"/>
      <c r="K193" s="907"/>
      <c r="L193" s="907"/>
    </row>
    <row r="194" spans="1:12" ht="15.75" customHeight="1" x14ac:dyDescent="0.3">
      <c r="A194" s="916"/>
      <c r="B194" s="131" t="s">
        <v>131</v>
      </c>
      <c r="C194" s="131" t="s">
        <v>132</v>
      </c>
      <c r="D194" s="908"/>
      <c r="E194" s="131" t="s">
        <v>133</v>
      </c>
      <c r="F194" s="132" t="s">
        <v>134</v>
      </c>
      <c r="G194" s="908"/>
      <c r="H194" s="88" t="s">
        <v>135</v>
      </c>
      <c r="I194" s="132" t="s">
        <v>136</v>
      </c>
      <c r="J194" s="88" t="s">
        <v>137</v>
      </c>
      <c r="K194" s="910" t="s">
        <v>138</v>
      </c>
      <c r="L194" s="910"/>
    </row>
    <row r="195" spans="1:12" ht="11.25" customHeight="1" x14ac:dyDescent="0.3">
      <c r="A195" s="104" t="s">
        <v>149</v>
      </c>
      <c r="B195" s="133">
        <f>+B196+B200</f>
        <v>0</v>
      </c>
      <c r="C195" s="133">
        <f>+C196+C200</f>
        <v>0</v>
      </c>
      <c r="D195" s="133">
        <f>+D196+D200</f>
        <v>0</v>
      </c>
      <c r="E195" s="133">
        <f>+E196+E200</f>
        <v>0</v>
      </c>
      <c r="F195" s="133">
        <f t="shared" ref="F195:F202" si="26">+C195-E195</f>
        <v>0</v>
      </c>
      <c r="G195" s="133">
        <f>+G196+G200</f>
        <v>0</v>
      </c>
      <c r="H195" s="133">
        <f>+H196+H200</f>
        <v>0</v>
      </c>
      <c r="I195" s="133">
        <f t="shared" ref="I195:I202" si="27">+C195-H195</f>
        <v>0</v>
      </c>
      <c r="J195" s="133">
        <f>+J196+J200</f>
        <v>0</v>
      </c>
      <c r="K195" s="918">
        <f>+K196+K200</f>
        <v>0</v>
      </c>
      <c r="L195" s="918"/>
    </row>
    <row r="196" spans="1:12" ht="11.25" customHeight="1" x14ac:dyDescent="0.3">
      <c r="A196" s="134" t="s">
        <v>140</v>
      </c>
      <c r="B196" s="45">
        <f>SUM(B197:B199)</f>
        <v>0</v>
      </c>
      <c r="C196" s="45">
        <f>SUM(C197:C199)</f>
        <v>0</v>
      </c>
      <c r="D196" s="45">
        <f>SUM(D197:D199)</f>
        <v>0</v>
      </c>
      <c r="E196" s="45">
        <f>SUM(E197:E199)</f>
        <v>0</v>
      </c>
      <c r="F196" s="45">
        <f t="shared" si="26"/>
        <v>0</v>
      </c>
      <c r="G196" s="45">
        <f>SUM(G197:G199)</f>
        <v>0</v>
      </c>
      <c r="H196" s="45">
        <f>SUM(H197:H199)</f>
        <v>0</v>
      </c>
      <c r="I196" s="45">
        <f t="shared" si="27"/>
        <v>0</v>
      </c>
      <c r="J196" s="45">
        <f>SUM(J197:J199)</f>
        <v>0</v>
      </c>
      <c r="K196" s="891">
        <f>SUM(K197:K199)</f>
        <v>0</v>
      </c>
      <c r="L196" s="891"/>
    </row>
    <row r="197" spans="1:12" ht="11.25" customHeight="1" x14ac:dyDescent="0.3">
      <c r="A197" s="20" t="s">
        <v>141</v>
      </c>
      <c r="B197" s="93"/>
      <c r="C197" s="93"/>
      <c r="D197" s="93"/>
      <c r="E197" s="93"/>
      <c r="F197" s="23">
        <f t="shared" si="26"/>
        <v>0</v>
      </c>
      <c r="G197" s="93"/>
      <c r="H197" s="135"/>
      <c r="I197" s="48">
        <f t="shared" si="27"/>
        <v>0</v>
      </c>
      <c r="J197" s="93"/>
      <c r="K197" s="892"/>
      <c r="L197" s="892"/>
    </row>
    <row r="198" spans="1:12" ht="11.25" customHeight="1" x14ac:dyDescent="0.3">
      <c r="A198" s="20" t="s">
        <v>142</v>
      </c>
      <c r="B198" s="93"/>
      <c r="C198" s="93"/>
      <c r="D198" s="93"/>
      <c r="E198" s="93"/>
      <c r="F198" s="23">
        <f t="shared" si="26"/>
        <v>0</v>
      </c>
      <c r="G198" s="93"/>
      <c r="H198" s="135"/>
      <c r="I198" s="48">
        <f t="shared" si="27"/>
        <v>0</v>
      </c>
      <c r="J198" s="93"/>
      <c r="K198" s="892"/>
      <c r="L198" s="892"/>
    </row>
    <row r="199" spans="1:12" ht="11.25" customHeight="1" x14ac:dyDescent="0.3">
      <c r="A199" s="20" t="s">
        <v>143</v>
      </c>
      <c r="B199" s="93"/>
      <c r="C199" s="93"/>
      <c r="D199" s="93"/>
      <c r="E199" s="93"/>
      <c r="F199" s="23">
        <f t="shared" si="26"/>
        <v>0</v>
      </c>
      <c r="G199" s="93"/>
      <c r="H199" s="135"/>
      <c r="I199" s="48">
        <f t="shared" si="27"/>
        <v>0</v>
      </c>
      <c r="J199" s="93"/>
      <c r="K199" s="892"/>
      <c r="L199" s="892"/>
    </row>
    <row r="200" spans="1:12" ht="11.25" customHeight="1" x14ac:dyDescent="0.3">
      <c r="A200" s="134" t="s">
        <v>144</v>
      </c>
      <c r="B200" s="45">
        <f>SUM(B201:B204)</f>
        <v>0</v>
      </c>
      <c r="C200" s="45">
        <f>SUM(C201:C204)</f>
        <v>0</v>
      </c>
      <c r="D200" s="45">
        <f>SUM(D201:D204)</f>
        <v>0</v>
      </c>
      <c r="E200" s="45">
        <f>SUM(E201:E204)</f>
        <v>0</v>
      </c>
      <c r="F200" s="45">
        <f t="shared" si="26"/>
        <v>0</v>
      </c>
      <c r="G200" s="45">
        <f>SUM(G201:G204)</f>
        <v>0</v>
      </c>
      <c r="H200" s="45">
        <f>SUM(H201:H204)</f>
        <v>0</v>
      </c>
      <c r="I200" s="45">
        <f t="shared" si="27"/>
        <v>0</v>
      </c>
      <c r="J200" s="45">
        <f>SUM(J201:J204)</f>
        <v>0</v>
      </c>
      <c r="K200" s="891">
        <f>SUM(K201:K204)</f>
        <v>0</v>
      </c>
      <c r="L200" s="891"/>
    </row>
    <row r="201" spans="1:12" ht="11.25" customHeight="1" x14ac:dyDescent="0.3">
      <c r="A201" s="136" t="s">
        <v>145</v>
      </c>
      <c r="B201" s="135"/>
      <c r="C201" s="93"/>
      <c r="D201" s="135"/>
      <c r="E201" s="93"/>
      <c r="F201" s="23">
        <f t="shared" si="26"/>
        <v>0</v>
      </c>
      <c r="G201" s="93"/>
      <c r="H201" s="135"/>
      <c r="I201" s="48">
        <f t="shared" si="27"/>
        <v>0</v>
      </c>
      <c r="J201" s="93"/>
      <c r="K201" s="892"/>
      <c r="L201" s="892"/>
    </row>
    <row r="202" spans="1:12" ht="11.25" customHeight="1" x14ac:dyDescent="0.3">
      <c r="A202" s="136" t="s">
        <v>146</v>
      </c>
      <c r="B202" s="135"/>
      <c r="C202" s="93"/>
      <c r="D202" s="135"/>
      <c r="E202" s="93"/>
      <c r="F202" s="23">
        <f t="shared" si="26"/>
        <v>0</v>
      </c>
      <c r="G202" s="93"/>
      <c r="H202" s="135"/>
      <c r="I202" s="48">
        <f t="shared" si="27"/>
        <v>0</v>
      </c>
      <c r="J202" s="93"/>
      <c r="K202" s="892"/>
      <c r="L202" s="892"/>
    </row>
    <row r="203" spans="1:12" ht="11.25" customHeight="1" x14ac:dyDescent="0.3">
      <c r="A203" s="136" t="s">
        <v>197</v>
      </c>
      <c r="B203" s="135"/>
      <c r="C203" s="93"/>
      <c r="D203" s="135"/>
      <c r="E203" s="93"/>
      <c r="F203" s="23">
        <v>0</v>
      </c>
      <c r="G203" s="93"/>
      <c r="H203" s="135"/>
      <c r="I203" s="48">
        <v>0</v>
      </c>
      <c r="J203" s="93"/>
      <c r="K203" s="892"/>
      <c r="L203" s="892"/>
    </row>
    <row r="204" spans="1:12" ht="11.25" customHeight="1" x14ac:dyDescent="0.3">
      <c r="A204" s="137" t="s">
        <v>198</v>
      </c>
      <c r="B204" s="138"/>
      <c r="C204" s="139"/>
      <c r="D204" s="138"/>
      <c r="E204" s="139"/>
      <c r="F204" s="140">
        <f>+C204-E204</f>
        <v>0</v>
      </c>
      <c r="G204" s="139"/>
      <c r="H204" s="138"/>
      <c r="I204" s="140">
        <f>+C204-H204</f>
        <v>0</v>
      </c>
      <c r="J204" s="139"/>
      <c r="K204" s="917"/>
      <c r="L204" s="917"/>
    </row>
    <row r="65535" ht="12.75" customHeight="1" x14ac:dyDescent="0.3"/>
    <row r="65536" ht="12.75" customHeight="1" x14ac:dyDescent="0.3"/>
  </sheetData>
  <sheetProtection password="EC36" sheet="1"/>
  <mergeCells count="647"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0:L200"/>
    <mergeCell ref="I192:I193"/>
    <mergeCell ref="J192:J193"/>
    <mergeCell ref="K192:L193"/>
    <mergeCell ref="D193:D194"/>
    <mergeCell ref="G193:G194"/>
    <mergeCell ref="K194:L194"/>
    <mergeCell ref="A192:A194"/>
    <mergeCell ref="B192:B193"/>
    <mergeCell ref="C192:C193"/>
    <mergeCell ref="D192:E192"/>
    <mergeCell ref="F192:F193"/>
    <mergeCell ref="G192:H192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D126:E126"/>
    <mergeCell ref="F126:G126"/>
    <mergeCell ref="I126:J126"/>
    <mergeCell ref="B127:C127"/>
    <mergeCell ref="D127:E127"/>
    <mergeCell ref="F127:G127"/>
    <mergeCell ref="I127:J127"/>
    <mergeCell ref="A122:C122"/>
    <mergeCell ref="B124:C125"/>
    <mergeCell ref="D124:E125"/>
    <mergeCell ref="F124:K124"/>
    <mergeCell ref="F125:G125"/>
    <mergeCell ref="I125:J125"/>
    <mergeCell ref="K116:L116"/>
    <mergeCell ref="K117:L117"/>
    <mergeCell ref="K118:L118"/>
    <mergeCell ref="K119:L119"/>
    <mergeCell ref="K120:L120"/>
    <mergeCell ref="A121:K121"/>
    <mergeCell ref="K110:L110"/>
    <mergeCell ref="K111:L111"/>
    <mergeCell ref="K112:L112"/>
    <mergeCell ref="K113:L113"/>
    <mergeCell ref="K114:L114"/>
    <mergeCell ref="K115:L115"/>
    <mergeCell ref="K104:L104"/>
    <mergeCell ref="K105:L105"/>
    <mergeCell ref="K106:L106"/>
    <mergeCell ref="K107:L107"/>
    <mergeCell ref="K108:L108"/>
    <mergeCell ref="K109:L109"/>
    <mergeCell ref="K98:L98"/>
    <mergeCell ref="K99:L99"/>
    <mergeCell ref="K100:L100"/>
    <mergeCell ref="K101:L101"/>
    <mergeCell ref="K102:L102"/>
    <mergeCell ref="K103:L103"/>
    <mergeCell ref="K94:L96"/>
    <mergeCell ref="D95:D97"/>
    <mergeCell ref="E95:E96"/>
    <mergeCell ref="G95:G97"/>
    <mergeCell ref="H95:H96"/>
    <mergeCell ref="K97:L97"/>
    <mergeCell ref="B94:B96"/>
    <mergeCell ref="C94:C96"/>
    <mergeCell ref="D94:E94"/>
    <mergeCell ref="G94:H94"/>
    <mergeCell ref="I94:I96"/>
    <mergeCell ref="J94:J96"/>
    <mergeCell ref="B91:C91"/>
    <mergeCell ref="D91:E91"/>
    <mergeCell ref="F91:G91"/>
    <mergeCell ref="I91:J91"/>
    <mergeCell ref="B92:C92"/>
    <mergeCell ref="D92:E92"/>
    <mergeCell ref="F92:G92"/>
    <mergeCell ref="I92:J92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77:C77"/>
    <mergeCell ref="D77:E77"/>
    <mergeCell ref="F77:G77"/>
    <mergeCell ref="I77:J77"/>
    <mergeCell ref="B78:C78"/>
    <mergeCell ref="D78:E78"/>
    <mergeCell ref="F78:G78"/>
    <mergeCell ref="I78:J78"/>
    <mergeCell ref="B74:C74"/>
    <mergeCell ref="D74:E74"/>
    <mergeCell ref="F74:G74"/>
    <mergeCell ref="I74:J74"/>
    <mergeCell ref="B75:C75"/>
    <mergeCell ref="B76:C76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F153" zoomScale="140" zoomScaleNormal="140" workbookViewId="0">
      <selection activeCell="M182" sqref="M182"/>
    </sheetView>
  </sheetViews>
  <sheetFormatPr defaultColWidth="7.54296875" defaultRowHeight="12.75" customHeight="1" x14ac:dyDescent="0.3"/>
  <cols>
    <col min="1" max="1" width="46.453125" style="141" customWidth="1"/>
    <col min="2" max="5" width="17.7265625" style="141" customWidth="1"/>
    <col min="6" max="6" width="9.453125" style="141" customWidth="1"/>
    <col min="7" max="7" width="17.81640625" style="141" customWidth="1"/>
    <col min="8" max="9" width="17.7265625" style="141" customWidth="1"/>
    <col min="10" max="10" width="9.453125" style="141" customWidth="1"/>
    <col min="11" max="11" width="17.81640625" style="141" customWidth="1"/>
    <col min="12" max="12" width="17.7265625" style="141" customWidth="1"/>
    <col min="13" max="13" width="14" style="141" customWidth="1"/>
    <col min="14" max="14" width="5.453125" style="142" customWidth="1"/>
    <col min="15" max="16" width="15.1796875" style="142" customWidth="1"/>
    <col min="17" max="17" width="21.7265625" style="142" customWidth="1"/>
    <col min="18" max="18" width="13.1796875" style="142" customWidth="1"/>
    <col min="19" max="16384" width="7.54296875" style="142"/>
  </cols>
  <sheetData>
    <row r="1" spans="1:13" ht="15.75" customHeight="1" x14ac:dyDescent="0.3">
      <c r="A1" s="143" t="s">
        <v>199</v>
      </c>
    </row>
    <row r="2" spans="1:13" ht="11.25" customHeight="1" x14ac:dyDescent="0.3">
      <c r="A2" s="30"/>
    </row>
    <row r="3" spans="1:13" ht="12.75" customHeight="1" x14ac:dyDescent="0.3">
      <c r="A3" s="877" t="str">
        <f>+'Informações Iniciais'!A1</f>
        <v>ESTADO DO MARANHÃO - PREFEITURA MUNICIPAL DE DAVINOPOLIS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18"/>
    </row>
    <row r="4" spans="1:13" ht="12.75" customHeight="1" x14ac:dyDescent="0.3">
      <c r="A4" s="878" t="s">
        <v>1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144"/>
    </row>
    <row r="5" spans="1:13" ht="12.75" customHeight="1" x14ac:dyDescent="0.3">
      <c r="A5" s="879" t="s">
        <v>200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145"/>
    </row>
    <row r="6" spans="1:13" ht="12.75" customHeight="1" x14ac:dyDescent="0.3">
      <c r="A6" s="880" t="s">
        <v>29</v>
      </c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146"/>
    </row>
    <row r="7" spans="1:13" ht="12.75" customHeight="1" x14ac:dyDescent="0.3">
      <c r="A7" s="877" t="str">
        <f>+'Informações Iniciais'!A5</f>
        <v>5º Bimestre de 2018</v>
      </c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18"/>
    </row>
    <row r="8" spans="1:13" ht="12.75" customHeight="1" x14ac:dyDescent="0.3">
      <c r="A8" s="920"/>
      <c r="B8" s="920"/>
      <c r="C8" s="920"/>
      <c r="D8" s="920"/>
      <c r="E8" s="920"/>
      <c r="F8" s="920"/>
      <c r="G8" s="920"/>
      <c r="H8" s="920"/>
      <c r="I8" s="920"/>
      <c r="J8" s="920"/>
      <c r="K8" s="920"/>
      <c r="L8" s="920"/>
      <c r="M8" s="142"/>
    </row>
    <row r="9" spans="1:13" ht="12.75" customHeight="1" x14ac:dyDescent="0.3">
      <c r="A9" s="144" t="s">
        <v>201</v>
      </c>
      <c r="B9" s="129"/>
      <c r="C9" s="142"/>
      <c r="D9" s="142"/>
      <c r="E9" s="147"/>
      <c r="F9" s="147"/>
      <c r="G9" s="147"/>
      <c r="H9" s="147"/>
      <c r="I9" s="142"/>
      <c r="J9" s="142"/>
      <c r="K9" s="142"/>
      <c r="L9" s="148" t="s">
        <v>31</v>
      </c>
    </row>
    <row r="10" spans="1:13" ht="18" customHeight="1" x14ac:dyDescent="0.3">
      <c r="A10" s="922" t="s">
        <v>202</v>
      </c>
      <c r="B10" s="149" t="s">
        <v>203</v>
      </c>
      <c r="C10" s="149" t="s">
        <v>203</v>
      </c>
      <c r="D10" s="919" t="s">
        <v>126</v>
      </c>
      <c r="E10" s="919"/>
      <c r="F10" s="919"/>
      <c r="G10" s="906" t="s">
        <v>36</v>
      </c>
      <c r="H10" s="923" t="s">
        <v>127</v>
      </c>
      <c r="I10" s="923"/>
      <c r="J10" s="923"/>
      <c r="K10" s="906" t="s">
        <v>36</v>
      </c>
      <c r="L10" s="924" t="s">
        <v>204</v>
      </c>
      <c r="M10" s="142"/>
    </row>
    <row r="11" spans="1:13" ht="12.75" customHeight="1" x14ac:dyDescent="0.3">
      <c r="A11" s="922"/>
      <c r="B11" s="151" t="s">
        <v>205</v>
      </c>
      <c r="C11" s="151" t="s">
        <v>206</v>
      </c>
      <c r="D11" s="919" t="s">
        <v>37</v>
      </c>
      <c r="E11" s="149" t="s">
        <v>39</v>
      </c>
      <c r="F11" s="149" t="s">
        <v>38</v>
      </c>
      <c r="G11" s="906"/>
      <c r="H11" s="919" t="s">
        <v>37</v>
      </c>
      <c r="I11" s="149" t="s">
        <v>39</v>
      </c>
      <c r="J11" s="149" t="s">
        <v>38</v>
      </c>
      <c r="K11" s="906"/>
      <c r="L11" s="924"/>
      <c r="M11" s="142"/>
    </row>
    <row r="12" spans="1:13" s="155" customFormat="1" ht="24" customHeight="1" x14ac:dyDescent="0.3">
      <c r="A12" s="922"/>
      <c r="B12" s="152"/>
      <c r="C12" s="153" t="s">
        <v>40</v>
      </c>
      <c r="D12" s="919"/>
      <c r="E12" s="153" t="s">
        <v>41</v>
      </c>
      <c r="F12" s="153" t="s">
        <v>207</v>
      </c>
      <c r="G12" s="154" t="s">
        <v>208</v>
      </c>
      <c r="H12" s="919"/>
      <c r="I12" s="153" t="s">
        <v>131</v>
      </c>
      <c r="J12" s="153" t="s">
        <v>209</v>
      </c>
      <c r="K12" s="154" t="s">
        <v>210</v>
      </c>
      <c r="L12" s="924"/>
    </row>
    <row r="13" spans="1:13" s="155" customFormat="1" ht="12.75" customHeight="1" x14ac:dyDescent="0.3">
      <c r="A13" s="156" t="s">
        <v>211</v>
      </c>
      <c r="B13" s="157">
        <f>+B14+B18+B22+B26+B39+B44+B49+B53+B59+B65+B73+B79+B89+B93+B98+B103+B107+B111+B118+B123+B130+B133+B140+B147+B151+B157+B164+B169+B178+B179</f>
        <v>50259789.899999991</v>
      </c>
      <c r="C13" s="157">
        <f>+C14+C18+C22+C26+C39+C44+C49+C53+C59+C65+C73+C79+C89+C93+C98+C103+C107+C111+C118+C123+C130+C133+C140+C147+C151+C157+C164+C169+C178+C179</f>
        <v>50259789.899999999</v>
      </c>
      <c r="D13" s="157">
        <f>+D14+D18+D22+D26+D39+D44+D49+D53+D59+D65+D73+D79+D89+D93+D98+D103+D107+D111+D118+D123+D130+D133+D140+D147+D151+D157+D164+D169+D178+D179</f>
        <v>1865758.3199999998</v>
      </c>
      <c r="E13" s="157">
        <f>+E14+E18+E22+E26+E39+E44+E49+E53+E59+E65+E73+E79+E89+E93+E98+E103+E107+E111+E118+E123+E130+E133+E140+E147+E151+E157+E164+E169+E178+E179</f>
        <v>33643906.439999998</v>
      </c>
      <c r="F13" s="157">
        <f t="shared" ref="F13:F86" si="0">IF(E$181="",0,IF(E$181=0,0,E13/E$181))</f>
        <v>1</v>
      </c>
      <c r="G13" s="157">
        <f t="shared" ref="G13:G180" si="1">+C13-E13</f>
        <v>16615883.460000001</v>
      </c>
      <c r="H13" s="157">
        <f>+H14+H18+H22+H26+H39+H44+H49+H53+H59+H65+H73+H79+H89+H93+H98+H103+H107+H111+H118+H123+H130+H133+H140+H147+H151+H157+H164+H169+H178+H179</f>
        <v>5391770</v>
      </c>
      <c r="I13" s="157">
        <f>+I14+I18+I22+I26+I39+I44+I49+I53+I59+I65+I73+I79+I89+I93+I98+I103+I107+I111+I118+I123+I130+I133+I140+I147+I151+I157+I164+I169+I178+I179</f>
        <v>24833314.969999999</v>
      </c>
      <c r="J13" s="157">
        <f>IF(I181="",0,IF(I181=0,0,I13/I$181))</f>
        <v>1</v>
      </c>
      <c r="K13" s="157">
        <f t="shared" ref="K13:K180" si="2">+C13-I13</f>
        <v>25426474.93</v>
      </c>
      <c r="L13" s="157">
        <f>+L14+L18+L22+L26+L39+L44+L49+L53+L59+L65+L73+L79+L89+L93+L98+L103+L107+L111+L118+L123+L130+L133+L140+L147+L151+L157+L164+L169+L178+L179</f>
        <v>0</v>
      </c>
    </row>
    <row r="14" spans="1:13" s="155" customFormat="1" ht="12.75" customHeight="1" x14ac:dyDescent="0.3">
      <c r="A14" s="158" t="s">
        <v>212</v>
      </c>
      <c r="B14" s="45">
        <f>SUM(B15:B17)</f>
        <v>1418546.58</v>
      </c>
      <c r="C14" s="45">
        <f>SUM(C15:C17)</f>
        <v>1418546.58</v>
      </c>
      <c r="D14" s="45">
        <f>SUM(D15:D17)</f>
        <v>0</v>
      </c>
      <c r="E14" s="45">
        <f>SUM(E15:E17)</f>
        <v>0</v>
      </c>
      <c r="F14" s="45">
        <f t="shared" si="0"/>
        <v>0</v>
      </c>
      <c r="G14" s="45">
        <f t="shared" si="1"/>
        <v>1418546.58</v>
      </c>
      <c r="H14" s="45">
        <f>SUM(H15:H17)</f>
        <v>0</v>
      </c>
      <c r="I14" s="45">
        <f>SUM(I15:I17)</f>
        <v>0</v>
      </c>
      <c r="J14" s="45">
        <f t="shared" ref="J14:J86" si="3">IF(I180="",0,IF(I180=0,0,I14/I$181))</f>
        <v>0</v>
      </c>
      <c r="K14" s="45">
        <f t="shared" si="2"/>
        <v>1418546.58</v>
      </c>
      <c r="L14" s="45">
        <f>SUM(L15:L17)</f>
        <v>0</v>
      </c>
    </row>
    <row r="15" spans="1:13" ht="12.75" customHeight="1" x14ac:dyDescent="0.3">
      <c r="A15" s="159" t="s">
        <v>213</v>
      </c>
      <c r="B15" s="861">
        <v>1418546.58</v>
      </c>
      <c r="C15" s="860">
        <v>1418546.58</v>
      </c>
      <c r="D15" s="93">
        <v>0</v>
      </c>
      <c r="E15" s="93">
        <v>0</v>
      </c>
      <c r="F15" s="48">
        <f t="shared" si="0"/>
        <v>0</v>
      </c>
      <c r="G15" s="48">
        <f t="shared" si="1"/>
        <v>1418546.58</v>
      </c>
      <c r="H15" s="93">
        <v>0</v>
      </c>
      <c r="I15" s="93">
        <v>0</v>
      </c>
      <c r="J15" s="161">
        <f t="shared" si="3"/>
        <v>0</v>
      </c>
      <c r="K15" s="161">
        <f t="shared" si="2"/>
        <v>1418546.58</v>
      </c>
      <c r="L15" s="93">
        <v>0</v>
      </c>
      <c r="M15" s="142"/>
    </row>
    <row r="16" spans="1:13" ht="12.75" customHeight="1" x14ac:dyDescent="0.3">
      <c r="A16" s="159" t="s">
        <v>214</v>
      </c>
      <c r="B16" s="160">
        <v>0</v>
      </c>
      <c r="C16" s="93"/>
      <c r="D16" s="93"/>
      <c r="E16" s="93"/>
      <c r="F16" s="48">
        <f t="shared" si="0"/>
        <v>0</v>
      </c>
      <c r="G16" s="48">
        <f t="shared" si="1"/>
        <v>0</v>
      </c>
      <c r="H16" s="93"/>
      <c r="I16" s="93"/>
      <c r="J16" s="161">
        <f t="shared" si="3"/>
        <v>0</v>
      </c>
      <c r="K16" s="161">
        <f t="shared" si="2"/>
        <v>0</v>
      </c>
      <c r="L16" s="93"/>
      <c r="M16" s="142"/>
    </row>
    <row r="17" spans="1:15" ht="12.75" customHeight="1" x14ac:dyDescent="0.3">
      <c r="A17" s="159" t="s">
        <v>215</v>
      </c>
      <c r="B17" s="160">
        <v>0</v>
      </c>
      <c r="C17" s="93"/>
      <c r="D17" s="93"/>
      <c r="E17" s="93"/>
      <c r="F17" s="48">
        <f t="shared" si="0"/>
        <v>0</v>
      </c>
      <c r="G17" s="48">
        <f t="shared" si="1"/>
        <v>0</v>
      </c>
      <c r="H17" s="93"/>
      <c r="I17" s="93"/>
      <c r="J17" s="48">
        <f t="shared" si="3"/>
        <v>0</v>
      </c>
      <c r="K17" s="161">
        <f t="shared" si="2"/>
        <v>0</v>
      </c>
      <c r="L17" s="93"/>
      <c r="M17" s="129"/>
    </row>
    <row r="18" spans="1:15" ht="12.75" customHeight="1" x14ac:dyDescent="0.3">
      <c r="A18" s="158" t="s">
        <v>216</v>
      </c>
      <c r="B18" s="45">
        <f>SUM(B19:B21)</f>
        <v>0</v>
      </c>
      <c r="C18" s="45">
        <f>SUM(C19:C21)</f>
        <v>0</v>
      </c>
      <c r="D18" s="45">
        <f>SUM(D19:D21)</f>
        <v>0</v>
      </c>
      <c r="E18" s="45">
        <f>SUM(E19:E21)</f>
        <v>0</v>
      </c>
      <c r="F18" s="45">
        <f t="shared" si="0"/>
        <v>0</v>
      </c>
      <c r="G18" s="45">
        <f t="shared" si="1"/>
        <v>0</v>
      </c>
      <c r="H18" s="45">
        <f>SUM(H19:H21)</f>
        <v>0</v>
      </c>
      <c r="I18" s="45">
        <f>SUM(I19:I21)</f>
        <v>0</v>
      </c>
      <c r="J18" s="45">
        <f t="shared" si="3"/>
        <v>0</v>
      </c>
      <c r="K18" s="45">
        <f t="shared" si="2"/>
        <v>0</v>
      </c>
      <c r="L18" s="45">
        <f>SUM(L19:L21)</f>
        <v>0</v>
      </c>
      <c r="M18" s="129"/>
      <c r="O18" s="921"/>
    </row>
    <row r="19" spans="1:15" ht="12.75" customHeight="1" x14ac:dyDescent="0.3">
      <c r="A19" s="159" t="s">
        <v>217</v>
      </c>
      <c r="B19" s="93">
        <v>0</v>
      </c>
      <c r="C19" s="93"/>
      <c r="D19" s="93"/>
      <c r="E19" s="93"/>
      <c r="F19" s="48">
        <f t="shared" si="0"/>
        <v>0</v>
      </c>
      <c r="G19" s="48">
        <f t="shared" si="1"/>
        <v>0</v>
      </c>
      <c r="H19" s="93"/>
      <c r="I19" s="93"/>
      <c r="J19" s="48">
        <f t="shared" si="3"/>
        <v>0</v>
      </c>
      <c r="K19" s="161">
        <f t="shared" si="2"/>
        <v>0</v>
      </c>
      <c r="L19" s="93"/>
      <c r="M19" s="129"/>
      <c r="O19" s="921"/>
    </row>
    <row r="20" spans="1:15" ht="12.75" customHeight="1" x14ac:dyDescent="0.3">
      <c r="A20" s="159" t="s">
        <v>218</v>
      </c>
      <c r="B20" s="93">
        <v>0</v>
      </c>
      <c r="C20" s="93"/>
      <c r="D20" s="93"/>
      <c r="E20" s="93"/>
      <c r="F20" s="48">
        <f t="shared" si="0"/>
        <v>0</v>
      </c>
      <c r="G20" s="48">
        <f t="shared" si="1"/>
        <v>0</v>
      </c>
      <c r="H20" s="93"/>
      <c r="I20" s="93"/>
      <c r="J20" s="48">
        <f t="shared" si="3"/>
        <v>0</v>
      </c>
      <c r="K20" s="161">
        <f t="shared" si="2"/>
        <v>0</v>
      </c>
      <c r="L20" s="93"/>
      <c r="M20" s="129"/>
      <c r="O20" s="921"/>
    </row>
    <row r="21" spans="1:15" ht="12.75" customHeight="1" x14ac:dyDescent="0.3">
      <c r="A21" s="159" t="s">
        <v>215</v>
      </c>
      <c r="B21" s="93">
        <v>0</v>
      </c>
      <c r="C21" s="93"/>
      <c r="D21" s="93"/>
      <c r="E21" s="93"/>
      <c r="F21" s="48">
        <f t="shared" si="0"/>
        <v>0</v>
      </c>
      <c r="G21" s="48">
        <f t="shared" si="1"/>
        <v>0</v>
      </c>
      <c r="H21" s="93"/>
      <c r="I21" s="93"/>
      <c r="J21" s="48">
        <f t="shared" si="3"/>
        <v>0</v>
      </c>
      <c r="K21" s="161">
        <f t="shared" si="2"/>
        <v>0</v>
      </c>
      <c r="L21" s="93"/>
      <c r="M21" s="129"/>
    </row>
    <row r="22" spans="1:15" ht="12.75" customHeight="1" x14ac:dyDescent="0.3">
      <c r="A22" s="158" t="s">
        <v>219</v>
      </c>
      <c r="B22" s="45">
        <f>SUM(B23:B25)</f>
        <v>0</v>
      </c>
      <c r="C22" s="45">
        <f>SUM(C23:C25)</f>
        <v>0</v>
      </c>
      <c r="D22" s="45">
        <f>SUM(D23:D25)</f>
        <v>0</v>
      </c>
      <c r="E22" s="45">
        <f>SUM(E23:E25)</f>
        <v>0</v>
      </c>
      <c r="F22" s="45">
        <f t="shared" si="0"/>
        <v>0</v>
      </c>
      <c r="G22" s="45">
        <f t="shared" si="1"/>
        <v>0</v>
      </c>
      <c r="H22" s="45">
        <f>SUM(H23:H25)</f>
        <v>0</v>
      </c>
      <c r="I22" s="45">
        <f>SUM(I23:I25)</f>
        <v>0</v>
      </c>
      <c r="J22" s="45">
        <f t="shared" si="3"/>
        <v>0</v>
      </c>
      <c r="K22" s="45">
        <f t="shared" si="2"/>
        <v>0</v>
      </c>
      <c r="L22" s="45">
        <f>SUM(L23:L25)</f>
        <v>0</v>
      </c>
      <c r="M22" s="129"/>
    </row>
    <row r="23" spans="1:15" ht="12.75" customHeight="1" x14ac:dyDescent="0.3">
      <c r="A23" s="159" t="s">
        <v>220</v>
      </c>
      <c r="B23" s="93">
        <v>0</v>
      </c>
      <c r="C23" s="93"/>
      <c r="D23" s="93"/>
      <c r="E23" s="93"/>
      <c r="F23" s="48">
        <f t="shared" si="0"/>
        <v>0</v>
      </c>
      <c r="G23" s="48">
        <f t="shared" si="1"/>
        <v>0</v>
      </c>
      <c r="H23" s="93"/>
      <c r="I23" s="93"/>
      <c r="J23" s="48">
        <f t="shared" si="3"/>
        <v>0</v>
      </c>
      <c r="K23" s="161">
        <f t="shared" si="2"/>
        <v>0</v>
      </c>
      <c r="L23" s="93"/>
      <c r="M23" s="129"/>
    </row>
    <row r="24" spans="1:15" ht="12.75" customHeight="1" x14ac:dyDescent="0.3">
      <c r="A24" s="159" t="s">
        <v>221</v>
      </c>
      <c r="B24" s="93">
        <v>0</v>
      </c>
      <c r="C24" s="93"/>
      <c r="D24" s="93"/>
      <c r="E24" s="93"/>
      <c r="F24" s="48">
        <f t="shared" si="0"/>
        <v>0</v>
      </c>
      <c r="G24" s="48">
        <f t="shared" si="1"/>
        <v>0</v>
      </c>
      <c r="H24" s="93"/>
      <c r="I24" s="93"/>
      <c r="J24" s="48">
        <f t="shared" si="3"/>
        <v>0</v>
      </c>
      <c r="K24" s="161">
        <f t="shared" si="2"/>
        <v>0</v>
      </c>
      <c r="L24" s="93"/>
      <c r="M24" s="129"/>
    </row>
    <row r="25" spans="1:15" ht="12.75" customHeight="1" x14ac:dyDescent="0.3">
      <c r="A25" s="159" t="s">
        <v>215</v>
      </c>
      <c r="B25" s="93">
        <v>0</v>
      </c>
      <c r="C25" s="93"/>
      <c r="D25" s="93"/>
      <c r="E25" s="93"/>
      <c r="F25" s="48">
        <f t="shared" si="0"/>
        <v>0</v>
      </c>
      <c r="G25" s="48">
        <f t="shared" si="1"/>
        <v>0</v>
      </c>
      <c r="H25" s="93"/>
      <c r="I25" s="93"/>
      <c r="J25" s="48">
        <f t="shared" si="3"/>
        <v>0</v>
      </c>
      <c r="K25" s="161">
        <f t="shared" si="2"/>
        <v>0</v>
      </c>
      <c r="L25" s="93"/>
      <c r="M25" s="129"/>
    </row>
    <row r="26" spans="1:15" ht="12.75" customHeight="1" x14ac:dyDescent="0.3">
      <c r="A26" s="158" t="s">
        <v>222</v>
      </c>
      <c r="B26" s="45">
        <f>SUM(B27:B38)</f>
        <v>4383426.24</v>
      </c>
      <c r="C26" s="45">
        <f>SUM(C27:C38)</f>
        <v>4177221.83</v>
      </c>
      <c r="D26" s="45">
        <f>SUM(D27:D38)</f>
        <v>111836.18</v>
      </c>
      <c r="E26" s="45">
        <f>SUM(E27:E38)</f>
        <v>3522810.48</v>
      </c>
      <c r="F26" s="45">
        <f t="shared" si="0"/>
        <v>0.10470872299810141</v>
      </c>
      <c r="G26" s="45">
        <f t="shared" si="1"/>
        <v>654411.35000000009</v>
      </c>
      <c r="H26" s="45">
        <f>SUM(H27:H38)</f>
        <v>569679.69999999995</v>
      </c>
      <c r="I26" s="45">
        <f>SUM(I27:I38)</f>
        <v>2898181.62</v>
      </c>
      <c r="J26" s="45">
        <f t="shared" si="3"/>
        <v>0</v>
      </c>
      <c r="K26" s="45">
        <f t="shared" si="2"/>
        <v>1279040.21</v>
      </c>
      <c r="L26" s="45">
        <f>SUM(L27:L38)</f>
        <v>0</v>
      </c>
      <c r="M26" s="129"/>
    </row>
    <row r="27" spans="1:15" ht="12.75" customHeight="1" x14ac:dyDescent="0.3">
      <c r="A27" s="159" t="s">
        <v>223</v>
      </c>
      <c r="B27" s="93">
        <v>0</v>
      </c>
      <c r="C27" s="93"/>
      <c r="D27" s="93"/>
      <c r="E27" s="93"/>
      <c r="F27" s="48">
        <f t="shared" si="0"/>
        <v>0</v>
      </c>
      <c r="G27" s="48">
        <f t="shared" si="1"/>
        <v>0</v>
      </c>
      <c r="H27" s="93"/>
      <c r="I27" s="93"/>
      <c r="J27" s="48">
        <f t="shared" si="3"/>
        <v>0</v>
      </c>
      <c r="K27" s="161">
        <f t="shared" si="2"/>
        <v>0</v>
      </c>
      <c r="L27" s="93"/>
      <c r="M27" s="129"/>
    </row>
    <row r="28" spans="1:15" ht="12.75" customHeight="1" x14ac:dyDescent="0.3">
      <c r="A28" s="159" t="s">
        <v>224</v>
      </c>
      <c r="B28" s="860">
        <v>2897959.69</v>
      </c>
      <c r="C28" s="93">
        <v>2076634.11</v>
      </c>
      <c r="D28" s="93">
        <v>43620.23</v>
      </c>
      <c r="E28" s="93">
        <v>1563488.02</v>
      </c>
      <c r="F28" s="48">
        <f t="shared" si="0"/>
        <v>4.6471655210083868E-2</v>
      </c>
      <c r="G28" s="48">
        <f t="shared" si="1"/>
        <v>513146.09000000008</v>
      </c>
      <c r="H28" s="93">
        <v>290377.28999999998</v>
      </c>
      <c r="I28" s="93">
        <v>1264268.7</v>
      </c>
      <c r="J28" s="48">
        <f t="shared" si="3"/>
        <v>0</v>
      </c>
      <c r="K28" s="161">
        <f t="shared" si="2"/>
        <v>812365.41000000015</v>
      </c>
      <c r="L28" s="93"/>
      <c r="M28" s="129"/>
    </row>
    <row r="29" spans="1:15" ht="12.75" customHeight="1" x14ac:dyDescent="0.3">
      <c r="A29" s="159" t="s">
        <v>225</v>
      </c>
      <c r="B29" s="860">
        <v>0</v>
      </c>
      <c r="C29" s="93"/>
      <c r="D29" s="93"/>
      <c r="E29" s="93"/>
      <c r="F29" s="48">
        <f t="shared" si="0"/>
        <v>0</v>
      </c>
      <c r="G29" s="48">
        <f t="shared" si="1"/>
        <v>0</v>
      </c>
      <c r="H29" s="93"/>
      <c r="I29" s="93"/>
      <c r="J29" s="48">
        <f t="shared" si="3"/>
        <v>0</v>
      </c>
      <c r="K29" s="161">
        <f t="shared" si="2"/>
        <v>0</v>
      </c>
      <c r="L29" s="93"/>
      <c r="M29" s="129"/>
    </row>
    <row r="30" spans="1:15" ht="12.75" customHeight="1" x14ac:dyDescent="0.3">
      <c r="A30" s="159" t="s">
        <v>226</v>
      </c>
      <c r="B30" s="860">
        <v>866225.62</v>
      </c>
      <c r="C30" s="93">
        <v>1869305.11</v>
      </c>
      <c r="D30" s="93">
        <v>60555.86</v>
      </c>
      <c r="E30" s="93">
        <v>1931182.67</v>
      </c>
      <c r="F30" s="48">
        <f t="shared" si="0"/>
        <v>5.7400666995791348E-2</v>
      </c>
      <c r="G30" s="48">
        <f t="shared" si="1"/>
        <v>-61877.559999999823</v>
      </c>
      <c r="H30" s="93">
        <v>264673.06</v>
      </c>
      <c r="I30" s="93">
        <v>1532759.74</v>
      </c>
      <c r="J30" s="48">
        <f t="shared" si="3"/>
        <v>0</v>
      </c>
      <c r="K30" s="161">
        <f t="shared" si="2"/>
        <v>336545.37000000011</v>
      </c>
      <c r="L30" s="93"/>
      <c r="M30" s="129"/>
    </row>
    <row r="31" spans="1:15" ht="12.75" customHeight="1" x14ac:dyDescent="0.3">
      <c r="A31" s="159" t="s">
        <v>227</v>
      </c>
      <c r="B31" s="860">
        <v>0</v>
      </c>
      <c r="C31" s="93"/>
      <c r="D31" s="93"/>
      <c r="E31" s="93"/>
      <c r="F31" s="48">
        <f t="shared" si="0"/>
        <v>0</v>
      </c>
      <c r="G31" s="48">
        <f t="shared" si="1"/>
        <v>0</v>
      </c>
      <c r="H31" s="93"/>
      <c r="I31" s="93"/>
      <c r="J31" s="48">
        <f t="shared" si="3"/>
        <v>0</v>
      </c>
      <c r="K31" s="161">
        <f t="shared" si="2"/>
        <v>0</v>
      </c>
      <c r="L31" s="93"/>
      <c r="M31" s="129"/>
    </row>
    <row r="32" spans="1:15" ht="12.75" customHeight="1" x14ac:dyDescent="0.3">
      <c r="A32" s="159" t="s">
        <v>228</v>
      </c>
      <c r="B32" s="860">
        <v>0</v>
      </c>
      <c r="C32" s="93"/>
      <c r="D32" s="93"/>
      <c r="E32" s="93"/>
      <c r="F32" s="48">
        <f t="shared" si="0"/>
        <v>0</v>
      </c>
      <c r="G32" s="48">
        <f t="shared" si="1"/>
        <v>0</v>
      </c>
      <c r="H32" s="93"/>
      <c r="I32" s="93"/>
      <c r="J32" s="48">
        <f t="shared" si="3"/>
        <v>0</v>
      </c>
      <c r="K32" s="161">
        <f t="shared" si="2"/>
        <v>0</v>
      </c>
      <c r="L32" s="93"/>
      <c r="M32" s="129"/>
    </row>
    <row r="33" spans="1:13" ht="12.75" customHeight="1" x14ac:dyDescent="0.3">
      <c r="A33" s="159" t="s">
        <v>229</v>
      </c>
      <c r="B33" s="860">
        <v>0</v>
      </c>
      <c r="C33" s="93"/>
      <c r="D33" s="93"/>
      <c r="E33" s="93"/>
      <c r="F33" s="48">
        <f t="shared" si="0"/>
        <v>0</v>
      </c>
      <c r="G33" s="48">
        <f t="shared" si="1"/>
        <v>0</v>
      </c>
      <c r="H33" s="93"/>
      <c r="I33" s="93"/>
      <c r="J33" s="48">
        <f t="shared" si="3"/>
        <v>0</v>
      </c>
      <c r="K33" s="161">
        <f t="shared" si="2"/>
        <v>0</v>
      </c>
      <c r="L33" s="93"/>
      <c r="M33" s="129"/>
    </row>
    <row r="34" spans="1:13" ht="12.75" customHeight="1" x14ac:dyDescent="0.3">
      <c r="A34" s="159" t="s">
        <v>230</v>
      </c>
      <c r="B34" s="860">
        <v>114816.56</v>
      </c>
      <c r="C34" s="93">
        <v>15508.42</v>
      </c>
      <c r="D34" s="93">
        <v>5800</v>
      </c>
      <c r="E34" s="93">
        <v>11880</v>
      </c>
      <c r="F34" s="48">
        <f t="shared" si="0"/>
        <v>3.5311000585459959E-4</v>
      </c>
      <c r="G34" s="48">
        <f t="shared" si="1"/>
        <v>3628.42</v>
      </c>
      <c r="H34" s="93"/>
      <c r="I34" s="93">
        <v>6080</v>
      </c>
      <c r="J34" s="48">
        <f t="shared" si="3"/>
        <v>0</v>
      </c>
      <c r="K34" s="161">
        <f t="shared" si="2"/>
        <v>9428.42</v>
      </c>
      <c r="L34" s="93"/>
      <c r="M34" s="129"/>
    </row>
    <row r="35" spans="1:13" ht="12.75" customHeight="1" x14ac:dyDescent="0.3">
      <c r="A35" s="159" t="s">
        <v>231</v>
      </c>
      <c r="B35" s="860">
        <v>128067.5</v>
      </c>
      <c r="C35" s="93">
        <v>38604.28</v>
      </c>
      <c r="D35" s="93"/>
      <c r="E35" s="93"/>
      <c r="F35" s="48">
        <f t="shared" si="0"/>
        <v>0</v>
      </c>
      <c r="G35" s="48">
        <f t="shared" si="1"/>
        <v>38604.28</v>
      </c>
      <c r="H35" s="93"/>
      <c r="I35" s="93"/>
      <c r="J35" s="48">
        <f t="shared" si="3"/>
        <v>0</v>
      </c>
      <c r="K35" s="161">
        <f t="shared" si="2"/>
        <v>38604.28</v>
      </c>
      <c r="L35" s="93"/>
      <c r="M35" s="129"/>
    </row>
    <row r="36" spans="1:13" ht="12.75" customHeight="1" x14ac:dyDescent="0.3">
      <c r="A36" s="159" t="s">
        <v>232</v>
      </c>
      <c r="B36" s="860">
        <v>0</v>
      </c>
      <c r="C36" s="93"/>
      <c r="D36" s="93"/>
      <c r="E36" s="93"/>
      <c r="F36" s="48">
        <f t="shared" si="0"/>
        <v>0</v>
      </c>
      <c r="G36" s="48">
        <f t="shared" si="1"/>
        <v>0</v>
      </c>
      <c r="H36" s="93"/>
      <c r="I36" s="93"/>
      <c r="J36" s="48">
        <f t="shared" si="3"/>
        <v>0</v>
      </c>
      <c r="K36" s="161">
        <f t="shared" si="2"/>
        <v>0</v>
      </c>
      <c r="L36" s="93"/>
      <c r="M36" s="129"/>
    </row>
    <row r="37" spans="1:13" ht="12.75" customHeight="1" x14ac:dyDescent="0.3">
      <c r="A37" s="159" t="s">
        <v>233</v>
      </c>
      <c r="B37" s="860">
        <v>0</v>
      </c>
      <c r="C37" s="93"/>
      <c r="D37" s="93"/>
      <c r="E37" s="93"/>
      <c r="F37" s="48">
        <f t="shared" si="0"/>
        <v>0</v>
      </c>
      <c r="G37" s="48">
        <f t="shared" si="1"/>
        <v>0</v>
      </c>
      <c r="H37" s="93"/>
      <c r="I37" s="93"/>
      <c r="J37" s="48">
        <f t="shared" si="3"/>
        <v>0</v>
      </c>
      <c r="K37" s="161">
        <f t="shared" si="2"/>
        <v>0</v>
      </c>
      <c r="L37" s="93"/>
      <c r="M37" s="129"/>
    </row>
    <row r="38" spans="1:13" ht="12.75" customHeight="1" x14ac:dyDescent="0.3">
      <c r="A38" s="159" t="s">
        <v>215</v>
      </c>
      <c r="B38" s="860">
        <v>376356.87</v>
      </c>
      <c r="C38" s="93">
        <v>177169.91</v>
      </c>
      <c r="D38" s="93">
        <v>1860.09</v>
      </c>
      <c r="E38" s="93">
        <v>16259.79</v>
      </c>
      <c r="F38" s="48">
        <f t="shared" si="0"/>
        <v>4.8329078637159598E-4</v>
      </c>
      <c r="G38" s="48">
        <f t="shared" si="1"/>
        <v>160910.12</v>
      </c>
      <c r="H38" s="93">
        <v>14629.35</v>
      </c>
      <c r="I38" s="93">
        <v>95073.18</v>
      </c>
      <c r="J38" s="48">
        <f t="shared" si="3"/>
        <v>0</v>
      </c>
      <c r="K38" s="161">
        <f t="shared" si="2"/>
        <v>82096.73000000001</v>
      </c>
      <c r="L38" s="93"/>
      <c r="M38" s="129"/>
    </row>
    <row r="39" spans="1:13" ht="12.75" customHeight="1" x14ac:dyDescent="0.3">
      <c r="A39" s="158" t="s">
        <v>234</v>
      </c>
      <c r="B39" s="45">
        <f>SUM(B40:B43)</f>
        <v>0</v>
      </c>
      <c r="C39" s="45">
        <f>SUM(C40:C43)</f>
        <v>0</v>
      </c>
      <c r="D39" s="45">
        <f>SUM(D40:D43)</f>
        <v>0</v>
      </c>
      <c r="E39" s="45">
        <f>SUM(E40:E43)</f>
        <v>0</v>
      </c>
      <c r="F39" s="45">
        <f t="shared" si="0"/>
        <v>0</v>
      </c>
      <c r="G39" s="45">
        <f t="shared" si="1"/>
        <v>0</v>
      </c>
      <c r="H39" s="45">
        <f>SUM(H40:H43)</f>
        <v>0</v>
      </c>
      <c r="I39" s="45">
        <f>SUM(I40:I43)</f>
        <v>0</v>
      </c>
      <c r="J39" s="45">
        <f t="shared" si="3"/>
        <v>0</v>
      </c>
      <c r="K39" s="45">
        <f t="shared" si="2"/>
        <v>0</v>
      </c>
      <c r="L39" s="45">
        <f>SUM(L40:L43)</f>
        <v>0</v>
      </c>
      <c r="M39" s="129"/>
    </row>
    <row r="40" spans="1:13" ht="12.75" customHeight="1" x14ac:dyDescent="0.3">
      <c r="A40" s="159" t="s">
        <v>235</v>
      </c>
      <c r="B40" s="93">
        <v>0</v>
      </c>
      <c r="C40" s="93"/>
      <c r="D40" s="93"/>
      <c r="E40" s="93"/>
      <c r="F40" s="48">
        <f t="shared" si="0"/>
        <v>0</v>
      </c>
      <c r="G40" s="48">
        <f t="shared" si="1"/>
        <v>0</v>
      </c>
      <c r="H40" s="93"/>
      <c r="I40" s="93"/>
      <c r="J40" s="48">
        <f t="shared" si="3"/>
        <v>0</v>
      </c>
      <c r="K40" s="161">
        <f t="shared" si="2"/>
        <v>0</v>
      </c>
      <c r="L40" s="93"/>
      <c r="M40" s="129"/>
    </row>
    <row r="41" spans="1:13" ht="12.75" customHeight="1" x14ac:dyDescent="0.3">
      <c r="A41" s="159" t="s">
        <v>236</v>
      </c>
      <c r="B41" s="93">
        <v>0</v>
      </c>
      <c r="C41" s="93"/>
      <c r="D41" s="93"/>
      <c r="E41" s="93"/>
      <c r="F41" s="48">
        <f t="shared" si="0"/>
        <v>0</v>
      </c>
      <c r="G41" s="48">
        <f t="shared" si="1"/>
        <v>0</v>
      </c>
      <c r="H41" s="93"/>
      <c r="I41" s="93"/>
      <c r="J41" s="48">
        <f t="shared" si="3"/>
        <v>0</v>
      </c>
      <c r="K41" s="161">
        <f t="shared" si="2"/>
        <v>0</v>
      </c>
      <c r="L41" s="93"/>
      <c r="M41" s="129"/>
    </row>
    <row r="42" spans="1:13" ht="12.75" customHeight="1" x14ac:dyDescent="0.3">
      <c r="A42" s="159" t="s">
        <v>237</v>
      </c>
      <c r="B42" s="93">
        <v>0</v>
      </c>
      <c r="C42" s="93"/>
      <c r="D42" s="93"/>
      <c r="E42" s="93"/>
      <c r="F42" s="48">
        <f t="shared" si="0"/>
        <v>0</v>
      </c>
      <c r="G42" s="48">
        <f t="shared" si="1"/>
        <v>0</v>
      </c>
      <c r="H42" s="93"/>
      <c r="I42" s="93"/>
      <c r="J42" s="48">
        <f t="shared" si="3"/>
        <v>0</v>
      </c>
      <c r="K42" s="161">
        <f t="shared" si="2"/>
        <v>0</v>
      </c>
      <c r="L42" s="93"/>
      <c r="M42" s="129"/>
    </row>
    <row r="43" spans="1:13" ht="12.75" customHeight="1" x14ac:dyDescent="0.3">
      <c r="A43" s="159" t="s">
        <v>215</v>
      </c>
      <c r="B43" s="93">
        <v>0</v>
      </c>
      <c r="C43" s="93"/>
      <c r="D43" s="93"/>
      <c r="E43" s="93"/>
      <c r="F43" s="48">
        <f t="shared" si="0"/>
        <v>0</v>
      </c>
      <c r="G43" s="48">
        <f t="shared" si="1"/>
        <v>0</v>
      </c>
      <c r="H43" s="93"/>
      <c r="I43" s="93"/>
      <c r="J43" s="48">
        <f t="shared" si="3"/>
        <v>0</v>
      </c>
      <c r="K43" s="161">
        <f t="shared" si="2"/>
        <v>0</v>
      </c>
      <c r="L43" s="93"/>
      <c r="M43" s="129"/>
    </row>
    <row r="44" spans="1:13" ht="12.75" customHeight="1" x14ac:dyDescent="0.3">
      <c r="A44" s="158" t="s">
        <v>238</v>
      </c>
      <c r="B44" s="45">
        <f>SUM(B45:B48)</f>
        <v>0</v>
      </c>
      <c r="C44" s="45">
        <f>SUM(C45:C48)</f>
        <v>0</v>
      </c>
      <c r="D44" s="45">
        <f>SUM(D45:D48)</f>
        <v>0</v>
      </c>
      <c r="E44" s="45">
        <f>SUM(E45:E48)</f>
        <v>0</v>
      </c>
      <c r="F44" s="45">
        <f t="shared" si="0"/>
        <v>0</v>
      </c>
      <c r="G44" s="45">
        <f t="shared" si="1"/>
        <v>0</v>
      </c>
      <c r="H44" s="45">
        <f>SUM(H45:H48)</f>
        <v>0</v>
      </c>
      <c r="I44" s="45">
        <f>SUM(I45:I48)</f>
        <v>0</v>
      </c>
      <c r="J44" s="45">
        <f t="shared" si="3"/>
        <v>0</v>
      </c>
      <c r="K44" s="45">
        <f t="shared" si="2"/>
        <v>0</v>
      </c>
      <c r="L44" s="45">
        <f>SUM(L45:L48)</f>
        <v>0</v>
      </c>
      <c r="M44" s="129"/>
    </row>
    <row r="45" spans="1:13" ht="12.75" customHeight="1" x14ac:dyDescent="0.3">
      <c r="A45" s="159" t="s">
        <v>239</v>
      </c>
      <c r="B45" s="93">
        <v>0</v>
      </c>
      <c r="C45" s="93"/>
      <c r="D45" s="93"/>
      <c r="E45" s="93"/>
      <c r="F45" s="48">
        <f t="shared" si="0"/>
        <v>0</v>
      </c>
      <c r="G45" s="48">
        <f t="shared" si="1"/>
        <v>0</v>
      </c>
      <c r="H45" s="93"/>
      <c r="I45" s="93"/>
      <c r="J45" s="48">
        <f t="shared" si="3"/>
        <v>0</v>
      </c>
      <c r="K45" s="161">
        <f t="shared" si="2"/>
        <v>0</v>
      </c>
      <c r="L45" s="93"/>
      <c r="M45" s="129"/>
    </row>
    <row r="46" spans="1:13" ht="12.75" customHeight="1" x14ac:dyDescent="0.3">
      <c r="A46" s="159" t="s">
        <v>240</v>
      </c>
      <c r="B46" s="93">
        <v>0</v>
      </c>
      <c r="C46" s="93"/>
      <c r="D46" s="93"/>
      <c r="E46" s="93"/>
      <c r="F46" s="48">
        <f t="shared" si="0"/>
        <v>0</v>
      </c>
      <c r="G46" s="48">
        <f t="shared" si="1"/>
        <v>0</v>
      </c>
      <c r="H46" s="93"/>
      <c r="I46" s="93"/>
      <c r="J46" s="48">
        <f t="shared" si="3"/>
        <v>0</v>
      </c>
      <c r="K46" s="161">
        <f t="shared" si="2"/>
        <v>0</v>
      </c>
      <c r="L46" s="93"/>
      <c r="M46" s="129"/>
    </row>
    <row r="47" spans="1:13" ht="12.75" customHeight="1" x14ac:dyDescent="0.3">
      <c r="A47" s="159" t="s">
        <v>241</v>
      </c>
      <c r="B47" s="93">
        <v>0</v>
      </c>
      <c r="C47" s="93"/>
      <c r="D47" s="93"/>
      <c r="E47" s="93"/>
      <c r="F47" s="48">
        <f t="shared" si="0"/>
        <v>0</v>
      </c>
      <c r="G47" s="48">
        <f t="shared" si="1"/>
        <v>0</v>
      </c>
      <c r="H47" s="93"/>
      <c r="I47" s="93"/>
      <c r="J47" s="48">
        <f t="shared" si="3"/>
        <v>0</v>
      </c>
      <c r="K47" s="161">
        <f t="shared" si="2"/>
        <v>0</v>
      </c>
      <c r="L47" s="93"/>
      <c r="M47" s="129"/>
    </row>
    <row r="48" spans="1:13" ht="12.75" customHeight="1" x14ac:dyDescent="0.3">
      <c r="A48" s="159" t="s">
        <v>215</v>
      </c>
      <c r="B48" s="93">
        <v>0</v>
      </c>
      <c r="C48" s="93"/>
      <c r="D48" s="93"/>
      <c r="E48" s="93"/>
      <c r="F48" s="48">
        <f t="shared" si="0"/>
        <v>0</v>
      </c>
      <c r="G48" s="48">
        <f t="shared" si="1"/>
        <v>0</v>
      </c>
      <c r="H48" s="93"/>
      <c r="I48" s="93"/>
      <c r="J48" s="48">
        <f t="shared" si="3"/>
        <v>0</v>
      </c>
      <c r="K48" s="161">
        <f t="shared" si="2"/>
        <v>0</v>
      </c>
      <c r="L48" s="93"/>
      <c r="M48" s="129"/>
    </row>
    <row r="49" spans="1:13" ht="12.75" customHeight="1" x14ac:dyDescent="0.3">
      <c r="A49" s="158" t="s">
        <v>242</v>
      </c>
      <c r="B49" s="45">
        <f>SUM(B50:B52)</f>
        <v>0</v>
      </c>
      <c r="C49" s="45">
        <f>SUM(C50:C52)</f>
        <v>0</v>
      </c>
      <c r="D49" s="45">
        <f>SUM(D50:D52)</f>
        <v>0</v>
      </c>
      <c r="E49" s="45">
        <f>SUM(E50:E52)</f>
        <v>0</v>
      </c>
      <c r="F49" s="45">
        <f t="shared" si="0"/>
        <v>0</v>
      </c>
      <c r="G49" s="45">
        <f t="shared" si="1"/>
        <v>0</v>
      </c>
      <c r="H49" s="45">
        <f>SUM(H50:H52)</f>
        <v>0</v>
      </c>
      <c r="I49" s="45">
        <f>SUM(I50:I52)</f>
        <v>0</v>
      </c>
      <c r="J49" s="45">
        <f t="shared" si="3"/>
        <v>0</v>
      </c>
      <c r="K49" s="45">
        <f t="shared" si="2"/>
        <v>0</v>
      </c>
      <c r="L49" s="45">
        <f>SUM(L50:L52)</f>
        <v>0</v>
      </c>
      <c r="M49" s="129"/>
    </row>
    <row r="50" spans="1:13" ht="12.75" customHeight="1" x14ac:dyDescent="0.3">
      <c r="A50" s="159" t="s">
        <v>243</v>
      </c>
      <c r="B50" s="93">
        <v>0</v>
      </c>
      <c r="C50" s="93"/>
      <c r="D50" s="93"/>
      <c r="E50" s="93"/>
      <c r="F50" s="48">
        <f t="shared" si="0"/>
        <v>0</v>
      </c>
      <c r="G50" s="48">
        <f t="shared" si="1"/>
        <v>0</v>
      </c>
      <c r="H50" s="93"/>
      <c r="I50" s="93"/>
      <c r="J50" s="48">
        <f t="shared" si="3"/>
        <v>0</v>
      </c>
      <c r="K50" s="161">
        <f t="shared" si="2"/>
        <v>0</v>
      </c>
      <c r="L50" s="93"/>
      <c r="M50" s="129"/>
    </row>
    <row r="51" spans="1:13" ht="12.75" customHeight="1" x14ac:dyDescent="0.3">
      <c r="A51" s="159" t="s">
        <v>244</v>
      </c>
      <c r="B51" s="93">
        <v>0</v>
      </c>
      <c r="C51" s="93"/>
      <c r="D51" s="93"/>
      <c r="E51" s="93"/>
      <c r="F51" s="48">
        <f t="shared" si="0"/>
        <v>0</v>
      </c>
      <c r="G51" s="48">
        <f t="shared" si="1"/>
        <v>0</v>
      </c>
      <c r="H51" s="93"/>
      <c r="I51" s="93"/>
      <c r="J51" s="48">
        <f t="shared" si="3"/>
        <v>0</v>
      </c>
      <c r="K51" s="161">
        <f t="shared" si="2"/>
        <v>0</v>
      </c>
      <c r="L51" s="93"/>
      <c r="M51" s="129"/>
    </row>
    <row r="52" spans="1:13" ht="12.75" customHeight="1" x14ac:dyDescent="0.3">
      <c r="A52" s="159" t="s">
        <v>215</v>
      </c>
      <c r="B52" s="93">
        <v>0</v>
      </c>
      <c r="C52" s="93"/>
      <c r="D52" s="93"/>
      <c r="E52" s="93"/>
      <c r="F52" s="48">
        <f t="shared" si="0"/>
        <v>0</v>
      </c>
      <c r="G52" s="48">
        <f t="shared" si="1"/>
        <v>0</v>
      </c>
      <c r="H52" s="93"/>
      <c r="I52" s="93"/>
      <c r="J52" s="48">
        <f t="shared" si="3"/>
        <v>0</v>
      </c>
      <c r="K52" s="161">
        <f t="shared" si="2"/>
        <v>0</v>
      </c>
      <c r="L52" s="93"/>
      <c r="M52" s="129"/>
    </row>
    <row r="53" spans="1:13" ht="12.75" customHeight="1" x14ac:dyDescent="0.3">
      <c r="A53" s="158" t="s">
        <v>245</v>
      </c>
      <c r="B53" s="45">
        <f>SUM(B54:B58)</f>
        <v>3415736.8699999996</v>
      </c>
      <c r="C53" s="45">
        <f>SUM(C54:C58)</f>
        <v>3445057.5599999996</v>
      </c>
      <c r="D53" s="45">
        <f>SUM(D54:D58)</f>
        <v>133645.97999999998</v>
      </c>
      <c r="E53" s="45">
        <f>SUM(E54:E58)</f>
        <v>1728691.26</v>
      </c>
      <c r="F53" s="45">
        <f t="shared" si="0"/>
        <v>5.1382001762575347E-2</v>
      </c>
      <c r="G53" s="45">
        <f t="shared" si="1"/>
        <v>1716366.2999999996</v>
      </c>
      <c r="H53" s="45">
        <f>SUM(H54:H58)</f>
        <v>295516.54000000004</v>
      </c>
      <c r="I53" s="45">
        <f>SUM(I54:I58)</f>
        <v>1235110.0900000001</v>
      </c>
      <c r="J53" s="45">
        <f t="shared" si="3"/>
        <v>0</v>
      </c>
      <c r="K53" s="45">
        <f t="shared" si="2"/>
        <v>2209947.4699999997</v>
      </c>
      <c r="L53" s="45">
        <f>SUM(L54:L58)</f>
        <v>0</v>
      </c>
      <c r="M53" s="129"/>
    </row>
    <row r="54" spans="1:13" ht="12.75" customHeight="1" x14ac:dyDescent="0.3">
      <c r="A54" s="159" t="s">
        <v>246</v>
      </c>
      <c r="B54" s="860">
        <v>327987.18</v>
      </c>
      <c r="C54" s="93">
        <v>129551.36</v>
      </c>
      <c r="D54" s="93"/>
      <c r="E54" s="93"/>
      <c r="F54" s="48">
        <f t="shared" si="0"/>
        <v>0</v>
      </c>
      <c r="G54" s="48">
        <f t="shared" si="1"/>
        <v>129551.36</v>
      </c>
      <c r="H54" s="93"/>
      <c r="I54" s="93"/>
      <c r="J54" s="48">
        <f t="shared" si="3"/>
        <v>0</v>
      </c>
      <c r="K54" s="161">
        <f t="shared" si="2"/>
        <v>129551.36</v>
      </c>
      <c r="L54" s="93"/>
      <c r="M54" s="129"/>
    </row>
    <row r="55" spans="1:13" ht="12.75" customHeight="1" x14ac:dyDescent="0.3">
      <c r="A55" s="159" t="s">
        <v>247</v>
      </c>
      <c r="B55" s="860">
        <v>62179.06</v>
      </c>
      <c r="C55" s="93">
        <v>12179.06</v>
      </c>
      <c r="D55" s="93"/>
      <c r="E55" s="93"/>
      <c r="F55" s="48">
        <f t="shared" si="0"/>
        <v>0</v>
      </c>
      <c r="G55" s="48">
        <f t="shared" si="1"/>
        <v>12179.06</v>
      </c>
      <c r="H55" s="93"/>
      <c r="I55" s="93"/>
      <c r="J55" s="48">
        <f t="shared" si="3"/>
        <v>0</v>
      </c>
      <c r="K55" s="161">
        <f t="shared" si="2"/>
        <v>12179.06</v>
      </c>
      <c r="L55" s="93"/>
      <c r="M55" s="129"/>
    </row>
    <row r="56" spans="1:13" ht="12.75" customHeight="1" x14ac:dyDescent="0.3">
      <c r="A56" s="159" t="s">
        <v>248</v>
      </c>
      <c r="B56" s="860">
        <v>1323780.6599999999</v>
      </c>
      <c r="C56" s="93">
        <v>1169062.97</v>
      </c>
      <c r="D56" s="93">
        <v>29943.200000000001</v>
      </c>
      <c r="E56" s="93">
        <v>460143.95</v>
      </c>
      <c r="F56" s="48">
        <f t="shared" si="0"/>
        <v>1.367688828943254E-2</v>
      </c>
      <c r="G56" s="48">
        <f t="shared" si="1"/>
        <v>708919.02</v>
      </c>
      <c r="H56" s="93">
        <v>73317.97</v>
      </c>
      <c r="I56" s="93">
        <v>333939.82</v>
      </c>
      <c r="J56" s="48">
        <f t="shared" si="3"/>
        <v>0</v>
      </c>
      <c r="K56" s="161">
        <f t="shared" si="2"/>
        <v>835123.14999999991</v>
      </c>
      <c r="L56" s="93"/>
      <c r="M56" s="129"/>
    </row>
    <row r="57" spans="1:13" ht="12.75" customHeight="1" x14ac:dyDescent="0.3">
      <c r="A57" s="159" t="s">
        <v>249</v>
      </c>
      <c r="B57" s="860">
        <v>805042.61</v>
      </c>
      <c r="C57" s="93">
        <v>1031785.97</v>
      </c>
      <c r="D57" s="93">
        <v>31811.58</v>
      </c>
      <c r="E57" s="93">
        <v>686129.81</v>
      </c>
      <c r="F57" s="48">
        <f t="shared" si="0"/>
        <v>2.0393880574588831E-2</v>
      </c>
      <c r="G57" s="48">
        <f t="shared" si="1"/>
        <v>345656.15999999992</v>
      </c>
      <c r="H57" s="93">
        <v>120870.42</v>
      </c>
      <c r="I57" s="93">
        <v>459301.34</v>
      </c>
      <c r="J57" s="48">
        <f t="shared" si="3"/>
        <v>0</v>
      </c>
      <c r="K57" s="161">
        <f t="shared" si="2"/>
        <v>572484.62999999989</v>
      </c>
      <c r="L57" s="93"/>
      <c r="M57" s="129"/>
    </row>
    <row r="58" spans="1:13" ht="12.75" customHeight="1" x14ac:dyDescent="0.3">
      <c r="A58" s="159" t="s">
        <v>215</v>
      </c>
      <c r="B58" s="860">
        <v>896747.36</v>
      </c>
      <c r="C58" s="93">
        <v>1102478.2</v>
      </c>
      <c r="D58" s="93">
        <v>71891.199999999997</v>
      </c>
      <c r="E58" s="93">
        <v>582417.5</v>
      </c>
      <c r="F58" s="48">
        <f t="shared" si="0"/>
        <v>1.7311232898553977E-2</v>
      </c>
      <c r="G58" s="48">
        <f t="shared" si="1"/>
        <v>520060.69999999995</v>
      </c>
      <c r="H58" s="93">
        <v>101328.15</v>
      </c>
      <c r="I58" s="93">
        <v>441868.93</v>
      </c>
      <c r="J58" s="48">
        <f t="shared" si="3"/>
        <v>0</v>
      </c>
      <c r="K58" s="161">
        <f t="shared" si="2"/>
        <v>660609.27</v>
      </c>
      <c r="L58" s="93"/>
      <c r="M58" s="129"/>
    </row>
    <row r="59" spans="1:13" ht="12.75" customHeight="1" x14ac:dyDescent="0.3">
      <c r="A59" s="158" t="s">
        <v>250</v>
      </c>
      <c r="B59" s="45">
        <f>SUM(B60:B64)</f>
        <v>0</v>
      </c>
      <c r="C59" s="45">
        <f>SUM(C60:C64)</f>
        <v>0</v>
      </c>
      <c r="D59" s="45">
        <f>SUM(D60:D64)</f>
        <v>0</v>
      </c>
      <c r="E59" s="45">
        <f>SUM(E60:E64)</f>
        <v>0</v>
      </c>
      <c r="F59" s="45">
        <f t="shared" si="0"/>
        <v>0</v>
      </c>
      <c r="G59" s="45">
        <f t="shared" si="1"/>
        <v>0</v>
      </c>
      <c r="H59" s="45">
        <f>SUM(H60:H64)</f>
        <v>0</v>
      </c>
      <c r="I59" s="45">
        <f>SUM(I60:I64)</f>
        <v>0</v>
      </c>
      <c r="J59" s="45">
        <f t="shared" si="3"/>
        <v>0</v>
      </c>
      <c r="K59" s="45">
        <f t="shared" si="2"/>
        <v>0</v>
      </c>
      <c r="L59" s="45">
        <f>SUM(L60:L64)</f>
        <v>0</v>
      </c>
      <c r="M59" s="129"/>
    </row>
    <row r="60" spans="1:13" ht="12.75" customHeight="1" x14ac:dyDescent="0.3">
      <c r="A60" s="159" t="s">
        <v>251</v>
      </c>
      <c r="B60" s="93">
        <v>0</v>
      </c>
      <c r="C60" s="93"/>
      <c r="D60" s="93"/>
      <c r="E60" s="93"/>
      <c r="F60" s="48">
        <f t="shared" si="0"/>
        <v>0</v>
      </c>
      <c r="G60" s="48">
        <f t="shared" si="1"/>
        <v>0</v>
      </c>
      <c r="H60" s="93"/>
      <c r="I60" s="93"/>
      <c r="J60" s="48">
        <f t="shared" si="3"/>
        <v>0</v>
      </c>
      <c r="K60" s="161">
        <f t="shared" si="2"/>
        <v>0</v>
      </c>
      <c r="L60" s="93"/>
      <c r="M60" s="129"/>
    </row>
    <row r="61" spans="1:13" ht="12.75" customHeight="1" x14ac:dyDescent="0.3">
      <c r="A61" s="159" t="s">
        <v>252</v>
      </c>
      <c r="B61" s="93">
        <v>0</v>
      </c>
      <c r="C61" s="93"/>
      <c r="D61" s="93"/>
      <c r="E61" s="93"/>
      <c r="F61" s="48">
        <f t="shared" si="0"/>
        <v>0</v>
      </c>
      <c r="G61" s="48">
        <f t="shared" si="1"/>
        <v>0</v>
      </c>
      <c r="H61" s="93"/>
      <c r="I61" s="93"/>
      <c r="J61" s="48">
        <f t="shared" si="3"/>
        <v>0</v>
      </c>
      <c r="K61" s="161">
        <f t="shared" si="2"/>
        <v>0</v>
      </c>
      <c r="L61" s="93"/>
      <c r="M61" s="129"/>
    </row>
    <row r="62" spans="1:13" ht="12.75" customHeight="1" x14ac:dyDescent="0.3">
      <c r="A62" s="159" t="s">
        <v>253</v>
      </c>
      <c r="B62" s="93">
        <v>0</v>
      </c>
      <c r="C62" s="93"/>
      <c r="D62" s="93"/>
      <c r="E62" s="93"/>
      <c r="F62" s="48">
        <f t="shared" si="0"/>
        <v>0</v>
      </c>
      <c r="G62" s="48">
        <f t="shared" si="1"/>
        <v>0</v>
      </c>
      <c r="H62" s="93"/>
      <c r="I62" s="93"/>
      <c r="J62" s="48">
        <f t="shared" si="3"/>
        <v>0</v>
      </c>
      <c r="K62" s="161">
        <f t="shared" si="2"/>
        <v>0</v>
      </c>
      <c r="L62" s="93"/>
      <c r="M62" s="129"/>
    </row>
    <row r="63" spans="1:13" ht="12.75" customHeight="1" x14ac:dyDescent="0.3">
      <c r="A63" s="159" t="s">
        <v>254</v>
      </c>
      <c r="B63" s="93">
        <v>0</v>
      </c>
      <c r="C63" s="93"/>
      <c r="D63" s="93"/>
      <c r="E63" s="93"/>
      <c r="F63" s="48">
        <f t="shared" si="0"/>
        <v>0</v>
      </c>
      <c r="G63" s="48">
        <f t="shared" si="1"/>
        <v>0</v>
      </c>
      <c r="H63" s="93"/>
      <c r="I63" s="93"/>
      <c r="J63" s="48">
        <f t="shared" si="3"/>
        <v>0</v>
      </c>
      <c r="K63" s="161">
        <f t="shared" si="2"/>
        <v>0</v>
      </c>
      <c r="L63" s="93"/>
      <c r="M63" s="129"/>
    </row>
    <row r="64" spans="1:13" ht="12.75" customHeight="1" x14ac:dyDescent="0.3">
      <c r="A64" s="159" t="s">
        <v>215</v>
      </c>
      <c r="B64" s="93">
        <v>0</v>
      </c>
      <c r="C64" s="93"/>
      <c r="D64" s="93"/>
      <c r="E64" s="93"/>
      <c r="F64" s="48">
        <f t="shared" si="0"/>
        <v>0</v>
      </c>
      <c r="G64" s="48">
        <f t="shared" si="1"/>
        <v>0</v>
      </c>
      <c r="H64" s="93"/>
      <c r="I64" s="93"/>
      <c r="J64" s="48">
        <f t="shared" si="3"/>
        <v>0</v>
      </c>
      <c r="K64" s="161">
        <f t="shared" si="2"/>
        <v>0</v>
      </c>
      <c r="L64" s="93"/>
      <c r="M64" s="129"/>
    </row>
    <row r="65" spans="1:13" ht="12.75" customHeight="1" x14ac:dyDescent="0.3">
      <c r="A65" s="158" t="s">
        <v>255</v>
      </c>
      <c r="B65" s="45">
        <f>SUM(B66:B72)</f>
        <v>11743351.48</v>
      </c>
      <c r="C65" s="45">
        <f>SUM(C66:C72)</f>
        <v>11762098.640000001</v>
      </c>
      <c r="D65" s="45">
        <f>SUM(D66:D72)</f>
        <v>374549.72</v>
      </c>
      <c r="E65" s="45">
        <f>SUM(E66:E72)</f>
        <v>7223602.5299999993</v>
      </c>
      <c r="F65" s="45">
        <f t="shared" si="0"/>
        <v>0.21470760367505051</v>
      </c>
      <c r="G65" s="45">
        <f t="shared" si="1"/>
        <v>4538496.1100000013</v>
      </c>
      <c r="H65" s="45">
        <f>SUM(H66:H72)</f>
        <v>1168510.6299999999</v>
      </c>
      <c r="I65" s="45">
        <f>SUM(I66:I72)</f>
        <v>5324702.6999999993</v>
      </c>
      <c r="J65" s="45">
        <f t="shared" si="3"/>
        <v>0</v>
      </c>
      <c r="K65" s="45">
        <f t="shared" si="2"/>
        <v>6437395.9400000013</v>
      </c>
      <c r="L65" s="45">
        <f>SUM(L66:L72)</f>
        <v>0</v>
      </c>
      <c r="M65" s="129"/>
    </row>
    <row r="66" spans="1:13" ht="12.75" customHeight="1" x14ac:dyDescent="0.3">
      <c r="A66" s="159" t="s">
        <v>256</v>
      </c>
      <c r="B66" s="860">
        <v>5476491.4500000002</v>
      </c>
      <c r="C66" s="93">
        <v>5424641.2599999998</v>
      </c>
      <c r="D66" s="93">
        <v>129728.06</v>
      </c>
      <c r="E66" s="93">
        <v>3202970.25</v>
      </c>
      <c r="F66" s="48">
        <f t="shared" si="0"/>
        <v>9.5202091223030999E-2</v>
      </c>
      <c r="G66" s="48">
        <f t="shared" si="1"/>
        <v>2221671.0099999998</v>
      </c>
      <c r="H66" s="93">
        <v>500314.11</v>
      </c>
      <c r="I66" s="93">
        <v>2287761.37</v>
      </c>
      <c r="J66" s="48">
        <f t="shared" si="3"/>
        <v>0</v>
      </c>
      <c r="K66" s="161">
        <f t="shared" si="2"/>
        <v>3136879.8899999997</v>
      </c>
      <c r="L66" s="93"/>
      <c r="M66" s="129"/>
    </row>
    <row r="67" spans="1:13" ht="12.75" customHeight="1" x14ac:dyDescent="0.3">
      <c r="A67" s="159" t="s">
        <v>257</v>
      </c>
      <c r="B67" s="860">
        <v>3624673.13</v>
      </c>
      <c r="C67" s="93">
        <v>3628762.39</v>
      </c>
      <c r="D67" s="93">
        <v>174738.67</v>
      </c>
      <c r="E67" s="93">
        <v>2970129.84</v>
      </c>
      <c r="F67" s="48">
        <f t="shared" si="0"/>
        <v>8.8281360706340142E-2</v>
      </c>
      <c r="G67" s="48">
        <f t="shared" si="1"/>
        <v>658632.55000000028</v>
      </c>
      <c r="H67" s="93">
        <v>486679.8</v>
      </c>
      <c r="I67" s="93">
        <v>2247314.9700000002</v>
      </c>
      <c r="J67" s="48">
        <f t="shared" si="3"/>
        <v>0</v>
      </c>
      <c r="K67" s="161">
        <f t="shared" si="2"/>
        <v>1381447.42</v>
      </c>
      <c r="L67" s="93"/>
      <c r="M67" s="129"/>
    </row>
    <row r="68" spans="1:13" ht="12.75" customHeight="1" x14ac:dyDescent="0.3">
      <c r="A68" s="159" t="s">
        <v>258</v>
      </c>
      <c r="B68" s="860">
        <v>0</v>
      </c>
      <c r="C68" s="93"/>
      <c r="D68" s="93"/>
      <c r="E68" s="93"/>
      <c r="F68" s="48">
        <f t="shared" si="0"/>
        <v>0</v>
      </c>
      <c r="G68" s="48">
        <f t="shared" si="1"/>
        <v>0</v>
      </c>
      <c r="H68" s="93"/>
      <c r="I68" s="93"/>
      <c r="J68" s="48">
        <f t="shared" si="3"/>
        <v>0</v>
      </c>
      <c r="K68" s="161">
        <f t="shared" si="2"/>
        <v>0</v>
      </c>
      <c r="L68" s="93"/>
      <c r="M68" s="129"/>
    </row>
    <row r="69" spans="1:13" ht="12.75" customHeight="1" x14ac:dyDescent="0.3">
      <c r="A69" s="159" t="s">
        <v>259</v>
      </c>
      <c r="B69" s="860">
        <v>442565.31</v>
      </c>
      <c r="C69" s="93">
        <v>462881.56</v>
      </c>
      <c r="D69" s="93">
        <v>15304.5</v>
      </c>
      <c r="E69" s="93">
        <v>103972.5</v>
      </c>
      <c r="F69" s="48">
        <f t="shared" si="0"/>
        <v>3.0903813201782287E-3</v>
      </c>
      <c r="G69" s="48">
        <f t="shared" si="1"/>
        <v>358909.06</v>
      </c>
      <c r="H69" s="93">
        <v>17224.5</v>
      </c>
      <c r="I69" s="93">
        <v>103968.5</v>
      </c>
      <c r="J69" s="48">
        <f t="shared" si="3"/>
        <v>0</v>
      </c>
      <c r="K69" s="161">
        <f t="shared" si="2"/>
        <v>358913.06</v>
      </c>
      <c r="L69" s="93"/>
      <c r="M69" s="129"/>
    </row>
    <row r="70" spans="1:13" ht="12.75" customHeight="1" x14ac:dyDescent="0.3">
      <c r="A70" s="159" t="s">
        <v>260</v>
      </c>
      <c r="B70" s="860">
        <v>310622.2</v>
      </c>
      <c r="C70" s="93">
        <v>305610.45</v>
      </c>
      <c r="D70" s="93">
        <v>4620.1499999999996</v>
      </c>
      <c r="E70" s="93">
        <v>109168.59</v>
      </c>
      <c r="F70" s="48">
        <f t="shared" si="0"/>
        <v>3.2448250382187188E-3</v>
      </c>
      <c r="G70" s="48">
        <f t="shared" si="1"/>
        <v>196441.86000000002</v>
      </c>
      <c r="H70" s="93">
        <v>17994.63</v>
      </c>
      <c r="I70" s="93">
        <v>85879.31</v>
      </c>
      <c r="J70" s="48">
        <f t="shared" si="3"/>
        <v>0</v>
      </c>
      <c r="K70" s="161">
        <f t="shared" si="2"/>
        <v>219731.14</v>
      </c>
      <c r="L70" s="93"/>
      <c r="M70" s="129"/>
    </row>
    <row r="71" spans="1:13" ht="12.75" customHeight="1" x14ac:dyDescent="0.3">
      <c r="A71" s="159" t="s">
        <v>261</v>
      </c>
      <c r="B71" s="860">
        <v>0</v>
      </c>
      <c r="C71" s="93"/>
      <c r="D71" s="93"/>
      <c r="E71" s="93"/>
      <c r="F71" s="48">
        <f t="shared" si="0"/>
        <v>0</v>
      </c>
      <c r="G71" s="48">
        <f t="shared" si="1"/>
        <v>0</v>
      </c>
      <c r="H71" s="93"/>
      <c r="I71" s="93"/>
      <c r="J71" s="48">
        <f t="shared" si="3"/>
        <v>0</v>
      </c>
      <c r="K71" s="161">
        <f t="shared" si="2"/>
        <v>0</v>
      </c>
      <c r="L71" s="93"/>
      <c r="M71" s="129"/>
    </row>
    <row r="72" spans="1:13" ht="12.75" customHeight="1" x14ac:dyDescent="0.3">
      <c r="A72" s="159" t="s">
        <v>215</v>
      </c>
      <c r="B72" s="860">
        <v>1888999.39</v>
      </c>
      <c r="C72" s="93">
        <v>1940202.98</v>
      </c>
      <c r="D72" s="93">
        <v>50158.34</v>
      </c>
      <c r="E72" s="93">
        <v>837361.35</v>
      </c>
      <c r="F72" s="48">
        <f t="shared" si="0"/>
        <v>2.4888945387282441E-2</v>
      </c>
      <c r="G72" s="48">
        <f t="shared" si="1"/>
        <v>1102841.6299999999</v>
      </c>
      <c r="H72" s="93">
        <v>146297.59</v>
      </c>
      <c r="I72" s="93">
        <v>599778.55000000005</v>
      </c>
      <c r="J72" s="48">
        <f t="shared" si="3"/>
        <v>0</v>
      </c>
      <c r="K72" s="161">
        <f t="shared" si="2"/>
        <v>1340424.43</v>
      </c>
      <c r="L72" s="93"/>
      <c r="M72" s="129"/>
    </row>
    <row r="73" spans="1:13" ht="12.75" customHeight="1" x14ac:dyDescent="0.3">
      <c r="A73" s="158" t="s">
        <v>262</v>
      </c>
      <c r="B73" s="45">
        <f>SUM(B74:B78)</f>
        <v>0</v>
      </c>
      <c r="C73" s="45">
        <f>SUM(C74:C78)</f>
        <v>0</v>
      </c>
      <c r="D73" s="45">
        <f>SUM(D74:D78)</f>
        <v>0</v>
      </c>
      <c r="E73" s="45">
        <f>SUM(E74:E78)</f>
        <v>0</v>
      </c>
      <c r="F73" s="45">
        <f t="shared" si="0"/>
        <v>0</v>
      </c>
      <c r="G73" s="45">
        <f t="shared" si="1"/>
        <v>0</v>
      </c>
      <c r="H73" s="45">
        <f>SUM(H74:H78)</f>
        <v>0</v>
      </c>
      <c r="I73" s="45">
        <f>SUM(I74:I78)</f>
        <v>0</v>
      </c>
      <c r="J73" s="45">
        <f t="shared" si="3"/>
        <v>0</v>
      </c>
      <c r="K73" s="45">
        <f t="shared" si="2"/>
        <v>0</v>
      </c>
      <c r="L73" s="45">
        <f>SUM(L74:L78)</f>
        <v>0</v>
      </c>
      <c r="M73" s="129"/>
    </row>
    <row r="74" spans="1:13" ht="12.75" customHeight="1" x14ac:dyDescent="0.3">
      <c r="A74" s="159" t="s">
        <v>263</v>
      </c>
      <c r="B74" s="93">
        <v>0</v>
      </c>
      <c r="C74" s="93"/>
      <c r="D74" s="93"/>
      <c r="E74" s="93"/>
      <c r="F74" s="48">
        <f t="shared" si="0"/>
        <v>0</v>
      </c>
      <c r="G74" s="48">
        <f t="shared" si="1"/>
        <v>0</v>
      </c>
      <c r="H74" s="93"/>
      <c r="I74" s="93"/>
      <c r="J74" s="48">
        <f t="shared" si="3"/>
        <v>0</v>
      </c>
      <c r="K74" s="161">
        <f t="shared" si="2"/>
        <v>0</v>
      </c>
      <c r="L74" s="93"/>
      <c r="M74" s="129"/>
    </row>
    <row r="75" spans="1:13" ht="12.75" customHeight="1" x14ac:dyDescent="0.3">
      <c r="A75" s="159" t="s">
        <v>264</v>
      </c>
      <c r="B75" s="93">
        <v>0</v>
      </c>
      <c r="C75" s="93"/>
      <c r="D75" s="93"/>
      <c r="E75" s="93"/>
      <c r="F75" s="48">
        <f t="shared" si="0"/>
        <v>0</v>
      </c>
      <c r="G75" s="48">
        <f t="shared" si="1"/>
        <v>0</v>
      </c>
      <c r="H75" s="93"/>
      <c r="I75" s="93"/>
      <c r="J75" s="48">
        <f t="shared" si="3"/>
        <v>0</v>
      </c>
      <c r="K75" s="161">
        <f t="shared" si="2"/>
        <v>0</v>
      </c>
      <c r="L75" s="93"/>
      <c r="M75" s="129"/>
    </row>
    <row r="76" spans="1:13" ht="12.75" customHeight="1" x14ac:dyDescent="0.3">
      <c r="A76" s="159" t="s">
        <v>265</v>
      </c>
      <c r="B76" s="93">
        <v>0</v>
      </c>
      <c r="C76" s="93"/>
      <c r="D76" s="93"/>
      <c r="E76" s="93"/>
      <c r="F76" s="48">
        <f t="shared" si="0"/>
        <v>0</v>
      </c>
      <c r="G76" s="48">
        <f t="shared" si="1"/>
        <v>0</v>
      </c>
      <c r="H76" s="93"/>
      <c r="I76" s="93"/>
      <c r="J76" s="48">
        <f t="shared" si="3"/>
        <v>0</v>
      </c>
      <c r="K76" s="161">
        <f t="shared" si="2"/>
        <v>0</v>
      </c>
      <c r="L76" s="93"/>
      <c r="M76" s="129"/>
    </row>
    <row r="77" spans="1:13" ht="12.75" customHeight="1" x14ac:dyDescent="0.3">
      <c r="A77" s="159" t="s">
        <v>266</v>
      </c>
      <c r="B77" s="93">
        <v>0</v>
      </c>
      <c r="C77" s="93"/>
      <c r="D77" s="93"/>
      <c r="E77" s="93"/>
      <c r="F77" s="48">
        <f t="shared" si="0"/>
        <v>0</v>
      </c>
      <c r="G77" s="48">
        <f t="shared" si="1"/>
        <v>0</v>
      </c>
      <c r="H77" s="93"/>
      <c r="I77" s="93"/>
      <c r="J77" s="48">
        <f t="shared" si="3"/>
        <v>0</v>
      </c>
      <c r="K77" s="161">
        <f t="shared" si="2"/>
        <v>0</v>
      </c>
      <c r="L77" s="93"/>
      <c r="M77" s="129"/>
    </row>
    <row r="78" spans="1:13" ht="12.75" customHeight="1" x14ac:dyDescent="0.3">
      <c r="A78" s="159" t="s">
        <v>215</v>
      </c>
      <c r="B78" s="93">
        <v>0</v>
      </c>
      <c r="C78" s="93"/>
      <c r="D78" s="93"/>
      <c r="E78" s="93"/>
      <c r="F78" s="48">
        <f t="shared" si="0"/>
        <v>0</v>
      </c>
      <c r="G78" s="48">
        <f t="shared" si="1"/>
        <v>0</v>
      </c>
      <c r="H78" s="93"/>
      <c r="I78" s="93"/>
      <c r="J78" s="48">
        <f t="shared" si="3"/>
        <v>0</v>
      </c>
      <c r="K78" s="161">
        <f t="shared" si="2"/>
        <v>0</v>
      </c>
      <c r="L78" s="93"/>
      <c r="M78" s="129"/>
    </row>
    <row r="79" spans="1:13" ht="12.75" customHeight="1" x14ac:dyDescent="0.3">
      <c r="A79" s="158" t="s">
        <v>267</v>
      </c>
      <c r="B79" s="45">
        <f>SUM(B80:B88)</f>
        <v>20340723.029999997</v>
      </c>
      <c r="C79" s="45">
        <f>SUM(C80:C88)</f>
        <v>20698009.960000001</v>
      </c>
      <c r="D79" s="45">
        <f>SUM(D80:D88)</f>
        <v>340955.74</v>
      </c>
      <c r="E79" s="45">
        <f>SUM(E80:E88)</f>
        <v>16331310.77</v>
      </c>
      <c r="F79" s="45">
        <f t="shared" si="0"/>
        <v>0.48541660282895499</v>
      </c>
      <c r="G79" s="45">
        <f t="shared" si="1"/>
        <v>4366699.1900000013</v>
      </c>
      <c r="H79" s="45">
        <f>SUM(H80:H88)</f>
        <v>2549420.7000000002</v>
      </c>
      <c r="I79" s="45">
        <f>SUM(I80:I88)</f>
        <v>12057272.129999999</v>
      </c>
      <c r="J79" s="45">
        <f t="shared" si="3"/>
        <v>0</v>
      </c>
      <c r="K79" s="45">
        <f t="shared" si="2"/>
        <v>8640737.8300000019</v>
      </c>
      <c r="L79" s="45">
        <f>SUM(L80:L88)</f>
        <v>0</v>
      </c>
      <c r="M79" s="129"/>
    </row>
    <row r="80" spans="1:13" ht="12.75" customHeight="1" x14ac:dyDescent="0.3">
      <c r="A80" s="159" t="s">
        <v>268</v>
      </c>
      <c r="B80" s="860">
        <v>18588048.489999998</v>
      </c>
      <c r="C80" s="93">
        <v>18437175.399999999</v>
      </c>
      <c r="D80" s="93">
        <v>104749.37</v>
      </c>
      <c r="E80" s="93">
        <v>14101852.43</v>
      </c>
      <c r="F80" s="48">
        <f t="shared" si="0"/>
        <v>0.41915026886515144</v>
      </c>
      <c r="G80" s="48">
        <f t="shared" si="1"/>
        <v>4335322.9699999988</v>
      </c>
      <c r="H80" s="93">
        <v>2101719.2200000002</v>
      </c>
      <c r="I80" s="93">
        <v>10390674.84</v>
      </c>
      <c r="J80" s="48">
        <f t="shared" si="3"/>
        <v>0</v>
      </c>
      <c r="K80" s="161">
        <f t="shared" si="2"/>
        <v>8046500.5599999987</v>
      </c>
      <c r="L80" s="93"/>
      <c r="M80" s="129"/>
    </row>
    <row r="81" spans="1:13" ht="12.75" customHeight="1" x14ac:dyDescent="0.3">
      <c r="A81" s="159" t="s">
        <v>269</v>
      </c>
      <c r="B81" s="860">
        <v>0</v>
      </c>
      <c r="C81" s="93"/>
      <c r="D81" s="93"/>
      <c r="E81" s="93"/>
      <c r="F81" s="48">
        <f t="shared" si="0"/>
        <v>0</v>
      </c>
      <c r="G81" s="48">
        <f t="shared" si="1"/>
        <v>0</v>
      </c>
      <c r="H81" s="93"/>
      <c r="I81" s="93"/>
      <c r="J81" s="48">
        <f t="shared" si="3"/>
        <v>0</v>
      </c>
      <c r="K81" s="161">
        <f t="shared" si="2"/>
        <v>0</v>
      </c>
      <c r="L81" s="93"/>
      <c r="M81" s="129"/>
    </row>
    <row r="82" spans="1:13" ht="12.75" customHeight="1" x14ac:dyDescent="0.3">
      <c r="A82" s="159" t="s">
        <v>270</v>
      </c>
      <c r="B82" s="860">
        <v>0</v>
      </c>
      <c r="C82" s="93"/>
      <c r="D82" s="93"/>
      <c r="E82" s="93"/>
      <c r="F82" s="48">
        <f t="shared" si="0"/>
        <v>0</v>
      </c>
      <c r="G82" s="48">
        <f t="shared" si="1"/>
        <v>0</v>
      </c>
      <c r="H82" s="93"/>
      <c r="I82" s="93"/>
      <c r="J82" s="48">
        <f t="shared" si="3"/>
        <v>0</v>
      </c>
      <c r="K82" s="161">
        <f t="shared" si="2"/>
        <v>0</v>
      </c>
      <c r="L82" s="93"/>
      <c r="M82" s="129"/>
    </row>
    <row r="83" spans="1:13" ht="12.75" customHeight="1" x14ac:dyDescent="0.3">
      <c r="A83" s="159" t="s">
        <v>271</v>
      </c>
      <c r="B83" s="860">
        <v>0</v>
      </c>
      <c r="C83" s="93"/>
      <c r="D83" s="93"/>
      <c r="E83" s="93"/>
      <c r="F83" s="48">
        <f t="shared" si="0"/>
        <v>0</v>
      </c>
      <c r="G83" s="48">
        <f t="shared" si="1"/>
        <v>0</v>
      </c>
      <c r="H83" s="93"/>
      <c r="I83" s="93"/>
      <c r="J83" s="48">
        <f t="shared" si="3"/>
        <v>0</v>
      </c>
      <c r="K83" s="161">
        <f t="shared" si="2"/>
        <v>0</v>
      </c>
      <c r="L83" s="93"/>
      <c r="M83" s="129"/>
    </row>
    <row r="84" spans="1:13" ht="12.75" customHeight="1" x14ac:dyDescent="0.3">
      <c r="A84" s="159" t="s">
        <v>272</v>
      </c>
      <c r="B84" s="860">
        <v>430637.05</v>
      </c>
      <c r="C84" s="93">
        <v>9925.67</v>
      </c>
      <c r="D84" s="93">
        <v>5240</v>
      </c>
      <c r="E84" s="93">
        <v>9476.16</v>
      </c>
      <c r="F84" s="48">
        <f t="shared" si="0"/>
        <v>2.8166051456894972E-4</v>
      </c>
      <c r="G84" s="48">
        <f t="shared" si="1"/>
        <v>449.51000000000022</v>
      </c>
      <c r="H84" s="93">
        <v>5240</v>
      </c>
      <c r="I84" s="93">
        <v>9476.16</v>
      </c>
      <c r="J84" s="48">
        <f t="shared" si="3"/>
        <v>0</v>
      </c>
      <c r="K84" s="161">
        <f t="shared" si="2"/>
        <v>449.51000000000022</v>
      </c>
      <c r="L84" s="93"/>
      <c r="M84" s="129"/>
    </row>
    <row r="85" spans="1:13" ht="12.75" customHeight="1" x14ac:dyDescent="0.3">
      <c r="A85" s="159" t="s">
        <v>273</v>
      </c>
      <c r="B85" s="860">
        <v>121280.94</v>
      </c>
      <c r="C85" s="93">
        <v>12480.94</v>
      </c>
      <c r="D85" s="93"/>
      <c r="E85" s="93"/>
      <c r="F85" s="48">
        <f t="shared" si="0"/>
        <v>0</v>
      </c>
      <c r="G85" s="48">
        <f t="shared" si="1"/>
        <v>12480.94</v>
      </c>
      <c r="H85" s="93"/>
      <c r="I85" s="93"/>
      <c r="J85" s="48">
        <f t="shared" si="3"/>
        <v>0</v>
      </c>
      <c r="K85" s="161">
        <f t="shared" si="2"/>
        <v>12480.94</v>
      </c>
      <c r="L85" s="93"/>
      <c r="M85" s="129"/>
    </row>
    <row r="86" spans="1:13" ht="12.75" customHeight="1" x14ac:dyDescent="0.3">
      <c r="A86" s="159" t="s">
        <v>274</v>
      </c>
      <c r="B86" s="860">
        <v>56206.239999999998</v>
      </c>
      <c r="C86" s="93">
        <v>81.64</v>
      </c>
      <c r="D86" s="93"/>
      <c r="E86" s="93"/>
      <c r="F86" s="48">
        <f t="shared" si="0"/>
        <v>0</v>
      </c>
      <c r="G86" s="48">
        <f t="shared" si="1"/>
        <v>81.64</v>
      </c>
      <c r="H86" s="93"/>
      <c r="I86" s="93"/>
      <c r="J86" s="48">
        <f t="shared" si="3"/>
        <v>0</v>
      </c>
      <c r="K86" s="161">
        <f t="shared" si="2"/>
        <v>81.64</v>
      </c>
      <c r="L86" s="93"/>
      <c r="M86" s="129"/>
    </row>
    <row r="87" spans="1:13" ht="12.75" customHeight="1" x14ac:dyDescent="0.3">
      <c r="A87" s="159" t="s">
        <v>275</v>
      </c>
      <c r="B87" s="860">
        <v>0</v>
      </c>
      <c r="C87" s="93"/>
      <c r="D87" s="93"/>
      <c r="E87" s="93"/>
      <c r="F87" s="48"/>
      <c r="G87" s="48">
        <f t="shared" si="1"/>
        <v>0</v>
      </c>
      <c r="H87" s="93"/>
      <c r="I87" s="93"/>
      <c r="J87" s="48"/>
      <c r="K87" s="161">
        <f t="shared" si="2"/>
        <v>0</v>
      </c>
      <c r="L87" s="93"/>
      <c r="M87" s="129"/>
    </row>
    <row r="88" spans="1:13" ht="12.75" customHeight="1" x14ac:dyDescent="0.3">
      <c r="A88" s="159" t="s">
        <v>215</v>
      </c>
      <c r="B88" s="860">
        <v>1144550.31</v>
      </c>
      <c r="C88" s="93">
        <v>2238346.31</v>
      </c>
      <c r="D88" s="93">
        <v>230966.37</v>
      </c>
      <c r="E88" s="93">
        <v>2219982.1800000002</v>
      </c>
      <c r="F88" s="48">
        <f t="shared" ref="F88:F177" si="4">IF(E$181="",0,IF(E$181=0,0,E88/E$181))</f>
        <v>6.5984673449234588E-2</v>
      </c>
      <c r="G88" s="48">
        <f t="shared" si="1"/>
        <v>18364.129999999888</v>
      </c>
      <c r="H88" s="93">
        <v>442461.48</v>
      </c>
      <c r="I88" s="93">
        <v>1657121.13</v>
      </c>
      <c r="J88" s="48">
        <f t="shared" ref="J88:J123" si="5">IF(I253="",0,IF(I253=0,0,I88/I$181))</f>
        <v>0</v>
      </c>
      <c r="K88" s="161">
        <f t="shared" si="2"/>
        <v>581225.18000000017</v>
      </c>
      <c r="L88" s="93"/>
      <c r="M88" s="129"/>
    </row>
    <row r="89" spans="1:13" ht="12.75" customHeight="1" x14ac:dyDescent="0.3">
      <c r="A89" s="158" t="s">
        <v>276</v>
      </c>
      <c r="B89" s="45">
        <f>SUM(B90:B92)</f>
        <v>559977.18999999994</v>
      </c>
      <c r="C89" s="45">
        <f>SUM(C90:C92)</f>
        <v>550480.64000000001</v>
      </c>
      <c r="D89" s="45">
        <f>SUM(D90:D92)</f>
        <v>0</v>
      </c>
      <c r="E89" s="45">
        <f>SUM(E90:E92)</f>
        <v>452981</v>
      </c>
      <c r="F89" s="45">
        <f t="shared" si="4"/>
        <v>1.3463983464816698E-2</v>
      </c>
      <c r="G89" s="45">
        <f t="shared" si="1"/>
        <v>97499.640000000014</v>
      </c>
      <c r="H89" s="45">
        <f>SUM(H90:H92)</f>
        <v>30744</v>
      </c>
      <c r="I89" s="45">
        <f>SUM(I90:I92)</f>
        <v>336946</v>
      </c>
      <c r="J89" s="45">
        <f t="shared" si="5"/>
        <v>0</v>
      </c>
      <c r="K89" s="45">
        <f t="shared" si="2"/>
        <v>213534.64</v>
      </c>
      <c r="L89" s="45">
        <f>SUM(L90:L92)</f>
        <v>0</v>
      </c>
      <c r="M89" s="129"/>
    </row>
    <row r="90" spans="1:13" ht="12.75" customHeight="1" x14ac:dyDescent="0.3">
      <c r="A90" s="159" t="s">
        <v>277</v>
      </c>
      <c r="B90" s="93">
        <v>0</v>
      </c>
      <c r="C90" s="93"/>
      <c r="D90" s="93"/>
      <c r="E90" s="93"/>
      <c r="F90" s="48">
        <f t="shared" si="4"/>
        <v>0</v>
      </c>
      <c r="G90" s="48">
        <f t="shared" si="1"/>
        <v>0</v>
      </c>
      <c r="H90" s="93"/>
      <c r="I90" s="93"/>
      <c r="J90" s="48">
        <f t="shared" si="5"/>
        <v>0</v>
      </c>
      <c r="K90" s="161">
        <f t="shared" si="2"/>
        <v>0</v>
      </c>
      <c r="L90" s="93"/>
      <c r="M90" s="129"/>
    </row>
    <row r="91" spans="1:13" ht="12.75" customHeight="1" x14ac:dyDescent="0.3">
      <c r="A91" s="159" t="s">
        <v>278</v>
      </c>
      <c r="B91" s="860">
        <v>271939.05</v>
      </c>
      <c r="C91" s="93">
        <v>47149.5</v>
      </c>
      <c r="D91" s="93"/>
      <c r="E91" s="93">
        <v>11448</v>
      </c>
      <c r="F91" s="48">
        <f t="shared" si="4"/>
        <v>3.4026964200534144E-4</v>
      </c>
      <c r="G91" s="48">
        <f t="shared" si="1"/>
        <v>35701.5</v>
      </c>
      <c r="H91" s="93">
        <v>954</v>
      </c>
      <c r="I91" s="93">
        <v>7632</v>
      </c>
      <c r="J91" s="48">
        <f t="shared" si="5"/>
        <v>0</v>
      </c>
      <c r="K91" s="161">
        <f t="shared" si="2"/>
        <v>39517.5</v>
      </c>
      <c r="L91" s="93"/>
      <c r="M91" s="129"/>
    </row>
    <row r="92" spans="1:13" ht="12.75" customHeight="1" x14ac:dyDescent="0.3">
      <c r="A92" s="159" t="s">
        <v>215</v>
      </c>
      <c r="B92" s="860">
        <v>288038.14</v>
      </c>
      <c r="C92" s="93">
        <v>503331.14</v>
      </c>
      <c r="D92" s="93"/>
      <c r="E92" s="93">
        <v>441533</v>
      </c>
      <c r="F92" s="48">
        <f t="shared" si="4"/>
        <v>1.3123713822811358E-2</v>
      </c>
      <c r="G92" s="48">
        <f t="shared" si="1"/>
        <v>61798.140000000014</v>
      </c>
      <c r="H92" s="93">
        <v>29790</v>
      </c>
      <c r="I92" s="93">
        <v>329314</v>
      </c>
      <c r="J92" s="48">
        <f t="shared" si="5"/>
        <v>0</v>
      </c>
      <c r="K92" s="161">
        <f t="shared" si="2"/>
        <v>174017.14</v>
      </c>
      <c r="L92" s="93"/>
      <c r="M92" s="129"/>
    </row>
    <row r="93" spans="1:13" ht="12.75" customHeight="1" x14ac:dyDescent="0.3">
      <c r="A93" s="158" t="s">
        <v>279</v>
      </c>
      <c r="B93" s="45">
        <f>SUM(B94:B97)</f>
        <v>0</v>
      </c>
      <c r="C93" s="45">
        <f>SUM(C94:C97)</f>
        <v>0</v>
      </c>
      <c r="D93" s="45">
        <f>SUM(D94:D97)</f>
        <v>0</v>
      </c>
      <c r="E93" s="45">
        <f>SUM(E94:E97)</f>
        <v>0</v>
      </c>
      <c r="F93" s="45">
        <f t="shared" si="4"/>
        <v>0</v>
      </c>
      <c r="G93" s="45">
        <f t="shared" si="1"/>
        <v>0</v>
      </c>
      <c r="H93" s="45">
        <f>SUM(H94:H97)</f>
        <v>0</v>
      </c>
      <c r="I93" s="45">
        <f>SUM(I94:I97)</f>
        <v>0</v>
      </c>
      <c r="J93" s="45">
        <f t="shared" si="5"/>
        <v>0</v>
      </c>
      <c r="K93" s="45">
        <f t="shared" si="2"/>
        <v>0</v>
      </c>
      <c r="L93" s="45">
        <f>SUM(L94:L97)</f>
        <v>0</v>
      </c>
      <c r="M93" s="129"/>
    </row>
    <row r="94" spans="1:13" ht="12.75" customHeight="1" x14ac:dyDescent="0.3">
      <c r="A94" s="159" t="s">
        <v>280</v>
      </c>
      <c r="B94" s="93">
        <v>0</v>
      </c>
      <c r="C94" s="93"/>
      <c r="D94" s="93"/>
      <c r="E94" s="93"/>
      <c r="F94" s="48">
        <f t="shared" si="4"/>
        <v>0</v>
      </c>
      <c r="G94" s="48">
        <f t="shared" si="1"/>
        <v>0</v>
      </c>
      <c r="H94" s="93"/>
      <c r="I94" s="93"/>
      <c r="J94" s="48">
        <f t="shared" si="5"/>
        <v>0</v>
      </c>
      <c r="K94" s="161">
        <f t="shared" si="2"/>
        <v>0</v>
      </c>
      <c r="L94" s="93"/>
      <c r="M94" s="129"/>
    </row>
    <row r="95" spans="1:13" ht="12.75" customHeight="1" x14ac:dyDescent="0.3">
      <c r="A95" s="159" t="s">
        <v>281</v>
      </c>
      <c r="B95" s="93">
        <v>0</v>
      </c>
      <c r="C95" s="93"/>
      <c r="D95" s="93"/>
      <c r="E95" s="93"/>
      <c r="F95" s="48">
        <f t="shared" si="4"/>
        <v>0</v>
      </c>
      <c r="G95" s="48">
        <f t="shared" si="1"/>
        <v>0</v>
      </c>
      <c r="H95" s="93"/>
      <c r="I95" s="93"/>
      <c r="J95" s="48">
        <f t="shared" si="5"/>
        <v>0</v>
      </c>
      <c r="K95" s="161">
        <f t="shared" si="2"/>
        <v>0</v>
      </c>
      <c r="L95" s="93"/>
      <c r="M95" s="129"/>
    </row>
    <row r="96" spans="1:13" ht="12.75" customHeight="1" x14ac:dyDescent="0.3">
      <c r="A96" s="159" t="s">
        <v>282</v>
      </c>
      <c r="B96" s="93">
        <v>0</v>
      </c>
      <c r="C96" s="93"/>
      <c r="D96" s="93"/>
      <c r="E96" s="93"/>
      <c r="F96" s="48">
        <f t="shared" si="4"/>
        <v>0</v>
      </c>
      <c r="G96" s="48">
        <f t="shared" si="1"/>
        <v>0</v>
      </c>
      <c r="H96" s="93"/>
      <c r="I96" s="93"/>
      <c r="J96" s="48">
        <f t="shared" si="5"/>
        <v>0</v>
      </c>
      <c r="K96" s="161">
        <f t="shared" si="2"/>
        <v>0</v>
      </c>
      <c r="L96" s="93"/>
      <c r="M96" s="129"/>
    </row>
    <row r="97" spans="1:13" ht="12.75" customHeight="1" x14ac:dyDescent="0.3">
      <c r="A97" s="159" t="s">
        <v>215</v>
      </c>
      <c r="B97" s="93">
        <v>0</v>
      </c>
      <c r="C97" s="93"/>
      <c r="D97" s="93"/>
      <c r="E97" s="93"/>
      <c r="F97" s="48">
        <f t="shared" si="4"/>
        <v>0</v>
      </c>
      <c r="G97" s="48">
        <f t="shared" si="1"/>
        <v>0</v>
      </c>
      <c r="H97" s="93"/>
      <c r="I97" s="93"/>
      <c r="J97" s="48">
        <f t="shared" si="5"/>
        <v>0</v>
      </c>
      <c r="K97" s="161">
        <f t="shared" si="2"/>
        <v>0</v>
      </c>
      <c r="L97" s="93"/>
      <c r="M97" s="129"/>
    </row>
    <row r="98" spans="1:13" ht="12.75" customHeight="1" x14ac:dyDescent="0.3">
      <c r="A98" s="158" t="s">
        <v>283</v>
      </c>
      <c r="B98" s="45">
        <f>SUM(B99:B102)</f>
        <v>4269155.5199999996</v>
      </c>
      <c r="C98" s="45">
        <f>SUM(C99:C102)</f>
        <v>4413435.93</v>
      </c>
      <c r="D98" s="45">
        <f>SUM(D99:D102)</f>
        <v>874740.22</v>
      </c>
      <c r="E98" s="45">
        <f>SUM(E99:E102)</f>
        <v>3346722.82</v>
      </c>
      <c r="F98" s="45">
        <f t="shared" si="4"/>
        <v>9.9474858128276264E-2</v>
      </c>
      <c r="G98" s="45">
        <f t="shared" si="1"/>
        <v>1066713.1099999999</v>
      </c>
      <c r="H98" s="45">
        <f>SUM(H99:H102)</f>
        <v>655448.56999999995</v>
      </c>
      <c r="I98" s="45">
        <f>SUM(I99:I102)</f>
        <v>2307477.6399999997</v>
      </c>
      <c r="J98" s="45">
        <f t="shared" si="5"/>
        <v>0</v>
      </c>
      <c r="K98" s="45">
        <f t="shared" si="2"/>
        <v>2105958.29</v>
      </c>
      <c r="L98" s="45">
        <f>SUM(L99:L102)</f>
        <v>0</v>
      </c>
      <c r="M98" s="129"/>
    </row>
    <row r="99" spans="1:13" ht="12.75" customHeight="1" x14ac:dyDescent="0.3">
      <c r="A99" s="159" t="s">
        <v>284</v>
      </c>
      <c r="B99" s="860">
        <v>4087984.9</v>
      </c>
      <c r="C99" s="93">
        <v>4359604.91</v>
      </c>
      <c r="D99" s="93">
        <v>874740.22</v>
      </c>
      <c r="E99" s="93">
        <v>3320073.75</v>
      </c>
      <c r="F99" s="48">
        <f t="shared" si="4"/>
        <v>9.8682766102710637E-2</v>
      </c>
      <c r="G99" s="48">
        <f t="shared" si="1"/>
        <v>1039531.1600000001</v>
      </c>
      <c r="H99" s="93">
        <v>647148.56999999995</v>
      </c>
      <c r="I99" s="93">
        <v>2297428.5699999998</v>
      </c>
      <c r="J99" s="48">
        <f t="shared" si="5"/>
        <v>0</v>
      </c>
      <c r="K99" s="161">
        <f t="shared" si="2"/>
        <v>2062176.3400000003</v>
      </c>
      <c r="L99" s="93"/>
      <c r="M99" s="129"/>
    </row>
    <row r="100" spans="1:13" ht="12.75" customHeight="1" x14ac:dyDescent="0.3">
      <c r="A100" s="159" t="s">
        <v>285</v>
      </c>
      <c r="B100" s="860">
        <v>181170.62</v>
      </c>
      <c r="C100" s="93">
        <v>53831.02</v>
      </c>
      <c r="D100" s="93"/>
      <c r="E100" s="93">
        <v>26649.07</v>
      </c>
      <c r="F100" s="48">
        <f t="shared" si="4"/>
        <v>7.9209202556562578E-4</v>
      </c>
      <c r="G100" s="48">
        <f t="shared" si="1"/>
        <v>27181.949999999997</v>
      </c>
      <c r="H100" s="93">
        <v>8300</v>
      </c>
      <c r="I100" s="93">
        <v>10049.07</v>
      </c>
      <c r="J100" s="48">
        <f t="shared" si="5"/>
        <v>0</v>
      </c>
      <c r="K100" s="161">
        <f t="shared" si="2"/>
        <v>43781.95</v>
      </c>
      <c r="L100" s="93"/>
      <c r="M100" s="129"/>
    </row>
    <row r="101" spans="1:13" ht="12.75" customHeight="1" x14ac:dyDescent="0.3">
      <c r="A101" s="159" t="s">
        <v>286</v>
      </c>
      <c r="B101" s="93">
        <v>0</v>
      </c>
      <c r="C101" s="93"/>
      <c r="D101" s="93"/>
      <c r="E101" s="93"/>
      <c r="F101" s="48">
        <f t="shared" si="4"/>
        <v>0</v>
      </c>
      <c r="G101" s="48">
        <f t="shared" si="1"/>
        <v>0</v>
      </c>
      <c r="H101" s="93"/>
      <c r="I101" s="93"/>
      <c r="J101" s="48">
        <f t="shared" si="5"/>
        <v>0</v>
      </c>
      <c r="K101" s="161">
        <f t="shared" si="2"/>
        <v>0</v>
      </c>
      <c r="L101" s="93"/>
      <c r="M101" s="129"/>
    </row>
    <row r="102" spans="1:13" ht="12.75" customHeight="1" x14ac:dyDescent="0.3">
      <c r="A102" s="159" t="s">
        <v>215</v>
      </c>
      <c r="B102" s="93">
        <v>0</v>
      </c>
      <c r="C102" s="93"/>
      <c r="D102" s="93"/>
      <c r="E102" s="93"/>
      <c r="F102" s="48">
        <f t="shared" si="4"/>
        <v>0</v>
      </c>
      <c r="G102" s="48">
        <f t="shared" si="1"/>
        <v>0</v>
      </c>
      <c r="H102" s="93"/>
      <c r="I102" s="93"/>
      <c r="J102" s="48">
        <f t="shared" si="5"/>
        <v>0</v>
      </c>
      <c r="K102" s="161">
        <f t="shared" si="2"/>
        <v>0</v>
      </c>
      <c r="L102" s="93"/>
      <c r="M102" s="129"/>
    </row>
    <row r="103" spans="1:13" ht="12.75" customHeight="1" x14ac:dyDescent="0.3">
      <c r="A103" s="158" t="s">
        <v>287</v>
      </c>
      <c r="B103" s="45">
        <f>SUM(B104:B106)</f>
        <v>0</v>
      </c>
      <c r="C103" s="45">
        <f>SUM(C104:C106)</f>
        <v>0</v>
      </c>
      <c r="D103" s="45">
        <f>SUM(D104:D106)</f>
        <v>0</v>
      </c>
      <c r="E103" s="45">
        <f>SUM(E104:E106)</f>
        <v>0</v>
      </c>
      <c r="F103" s="45">
        <f t="shared" si="4"/>
        <v>0</v>
      </c>
      <c r="G103" s="45">
        <f t="shared" si="1"/>
        <v>0</v>
      </c>
      <c r="H103" s="45">
        <f>SUM(H104:H106)</f>
        <v>0</v>
      </c>
      <c r="I103" s="45">
        <f>SUM(I104:I106)</f>
        <v>0</v>
      </c>
      <c r="J103" s="45">
        <f t="shared" si="5"/>
        <v>0</v>
      </c>
      <c r="K103" s="45">
        <f t="shared" si="2"/>
        <v>0</v>
      </c>
      <c r="L103" s="45">
        <f>SUM(L104:L106)</f>
        <v>0</v>
      </c>
      <c r="M103" s="129"/>
    </row>
    <row r="104" spans="1:13" ht="12.75" customHeight="1" x14ac:dyDescent="0.3">
      <c r="A104" s="159" t="s">
        <v>288</v>
      </c>
      <c r="B104" s="93">
        <v>0</v>
      </c>
      <c r="C104" s="93"/>
      <c r="D104" s="93"/>
      <c r="E104" s="93"/>
      <c r="F104" s="48">
        <f t="shared" si="4"/>
        <v>0</v>
      </c>
      <c r="G104" s="48">
        <f t="shared" si="1"/>
        <v>0</v>
      </c>
      <c r="H104" s="93"/>
      <c r="I104" s="93"/>
      <c r="J104" s="48">
        <f t="shared" si="5"/>
        <v>0</v>
      </c>
      <c r="K104" s="161">
        <f t="shared" si="2"/>
        <v>0</v>
      </c>
      <c r="L104" s="93"/>
      <c r="M104" s="129"/>
    </row>
    <row r="105" spans="1:13" ht="12.75" customHeight="1" x14ac:dyDescent="0.3">
      <c r="A105" s="159" t="s">
        <v>289</v>
      </c>
      <c r="B105" s="93">
        <v>0</v>
      </c>
      <c r="C105" s="93"/>
      <c r="D105" s="93"/>
      <c r="E105" s="93"/>
      <c r="F105" s="48">
        <f t="shared" si="4"/>
        <v>0</v>
      </c>
      <c r="G105" s="48">
        <f t="shared" si="1"/>
        <v>0</v>
      </c>
      <c r="H105" s="93"/>
      <c r="I105" s="93"/>
      <c r="J105" s="48">
        <f t="shared" si="5"/>
        <v>0</v>
      </c>
      <c r="K105" s="161">
        <f t="shared" si="2"/>
        <v>0</v>
      </c>
      <c r="L105" s="93"/>
      <c r="M105" s="129"/>
    </row>
    <row r="106" spans="1:13" ht="12.75" customHeight="1" x14ac:dyDescent="0.3">
      <c r="A106" s="159" t="s">
        <v>215</v>
      </c>
      <c r="B106" s="93">
        <v>0</v>
      </c>
      <c r="C106" s="93"/>
      <c r="D106" s="93"/>
      <c r="E106" s="93"/>
      <c r="F106" s="48">
        <f t="shared" si="4"/>
        <v>0</v>
      </c>
      <c r="G106" s="48">
        <f t="shared" si="1"/>
        <v>0</v>
      </c>
      <c r="H106" s="93"/>
      <c r="I106" s="93"/>
      <c r="J106" s="48">
        <f t="shared" si="5"/>
        <v>0</v>
      </c>
      <c r="K106" s="161">
        <f t="shared" si="2"/>
        <v>0</v>
      </c>
      <c r="L106" s="93"/>
      <c r="M106" s="129"/>
    </row>
    <row r="107" spans="1:13" ht="12.75" customHeight="1" x14ac:dyDescent="0.3">
      <c r="A107" s="158" t="s">
        <v>290</v>
      </c>
      <c r="B107" s="45">
        <f>SUM(B108:B110)</f>
        <v>374542.8</v>
      </c>
      <c r="C107" s="45">
        <f>SUM(C108:C110)</f>
        <v>355795.64</v>
      </c>
      <c r="D107" s="45">
        <f>SUM(D108:D110)</f>
        <v>0</v>
      </c>
      <c r="E107" s="45">
        <f>SUM(E108:E110)</f>
        <v>0</v>
      </c>
      <c r="F107" s="45">
        <f t="shared" si="4"/>
        <v>0</v>
      </c>
      <c r="G107" s="45">
        <f t="shared" si="1"/>
        <v>355795.64</v>
      </c>
      <c r="H107" s="45">
        <f>SUM(H108:H110)</f>
        <v>0</v>
      </c>
      <c r="I107" s="45">
        <f>SUM(I108:I110)</f>
        <v>0</v>
      </c>
      <c r="J107" s="45">
        <f t="shared" si="5"/>
        <v>0</v>
      </c>
      <c r="K107" s="45">
        <f t="shared" si="2"/>
        <v>355795.64</v>
      </c>
      <c r="L107" s="45">
        <f>SUM(L108:L110)</f>
        <v>0</v>
      </c>
      <c r="M107" s="129"/>
    </row>
    <row r="108" spans="1:13" ht="12.75" customHeight="1" x14ac:dyDescent="0.3">
      <c r="A108" s="159" t="s">
        <v>291</v>
      </c>
      <c r="B108" s="93">
        <v>0</v>
      </c>
      <c r="C108" s="93"/>
      <c r="D108" s="93"/>
      <c r="E108" s="93"/>
      <c r="F108" s="48">
        <f t="shared" si="4"/>
        <v>0</v>
      </c>
      <c r="G108" s="48">
        <f t="shared" si="1"/>
        <v>0</v>
      </c>
      <c r="H108" s="93"/>
      <c r="I108" s="93"/>
      <c r="J108" s="48">
        <f t="shared" si="5"/>
        <v>0</v>
      </c>
      <c r="K108" s="161">
        <f t="shared" si="2"/>
        <v>0</v>
      </c>
      <c r="L108" s="93"/>
      <c r="M108" s="129"/>
    </row>
    <row r="109" spans="1:13" ht="12.75" customHeight="1" x14ac:dyDescent="0.3">
      <c r="A109" s="159" t="s">
        <v>292</v>
      </c>
      <c r="B109" s="860">
        <v>374542.8</v>
      </c>
      <c r="C109" s="93">
        <v>355795.64</v>
      </c>
      <c r="D109" s="93"/>
      <c r="E109" s="93"/>
      <c r="F109" s="48">
        <f t="shared" si="4"/>
        <v>0</v>
      </c>
      <c r="G109" s="48">
        <f t="shared" si="1"/>
        <v>355795.64</v>
      </c>
      <c r="H109" s="93"/>
      <c r="I109" s="93"/>
      <c r="J109" s="48">
        <f t="shared" si="5"/>
        <v>0</v>
      </c>
      <c r="K109" s="161">
        <f t="shared" si="2"/>
        <v>355795.64</v>
      </c>
      <c r="L109" s="93"/>
      <c r="M109" s="129"/>
    </row>
    <row r="110" spans="1:13" ht="12.75" customHeight="1" x14ac:dyDescent="0.3">
      <c r="A110" s="159" t="s">
        <v>215</v>
      </c>
      <c r="B110" s="93">
        <v>0</v>
      </c>
      <c r="C110" s="93"/>
      <c r="D110" s="93"/>
      <c r="E110" s="93"/>
      <c r="F110" s="48">
        <f t="shared" si="4"/>
        <v>0</v>
      </c>
      <c r="G110" s="48">
        <f t="shared" si="1"/>
        <v>0</v>
      </c>
      <c r="H110" s="93"/>
      <c r="I110" s="93"/>
      <c r="J110" s="48">
        <f t="shared" si="5"/>
        <v>0</v>
      </c>
      <c r="K110" s="161">
        <f t="shared" si="2"/>
        <v>0</v>
      </c>
      <c r="L110" s="93"/>
      <c r="M110" s="129"/>
    </row>
    <row r="111" spans="1:13" ht="12.75" customHeight="1" x14ac:dyDescent="0.3">
      <c r="A111" s="158" t="s">
        <v>293</v>
      </c>
      <c r="B111" s="45">
        <f>SUM(B112:B117)</f>
        <v>767581.57</v>
      </c>
      <c r="C111" s="45">
        <f>SUM(C112:C117)</f>
        <v>335116.5</v>
      </c>
      <c r="D111" s="45">
        <f>SUM(D112:D117)</f>
        <v>0</v>
      </c>
      <c r="E111" s="45">
        <f>SUM(E112:E117)</f>
        <v>0</v>
      </c>
      <c r="F111" s="45">
        <f t="shared" si="4"/>
        <v>0</v>
      </c>
      <c r="G111" s="45">
        <f t="shared" si="1"/>
        <v>335116.5</v>
      </c>
      <c r="H111" s="45">
        <f>SUM(H112:H117)</f>
        <v>0</v>
      </c>
      <c r="I111" s="45">
        <f>SUM(I112:I117)</f>
        <v>0</v>
      </c>
      <c r="J111" s="45">
        <f t="shared" si="5"/>
        <v>0</v>
      </c>
      <c r="K111" s="45">
        <f t="shared" si="2"/>
        <v>335116.5</v>
      </c>
      <c r="L111" s="45">
        <f>SUM(L112:L117)</f>
        <v>0</v>
      </c>
      <c r="M111" s="129"/>
    </row>
    <row r="112" spans="1:13" ht="12.75" customHeight="1" x14ac:dyDescent="0.3">
      <c r="A112" s="159" t="s">
        <v>294</v>
      </c>
      <c r="B112" s="93">
        <v>767581.57</v>
      </c>
      <c r="C112" s="93">
        <v>335116.5</v>
      </c>
      <c r="D112" s="93"/>
      <c r="E112" s="93"/>
      <c r="F112" s="48">
        <f t="shared" si="4"/>
        <v>0</v>
      </c>
      <c r="G112" s="48">
        <f t="shared" si="1"/>
        <v>335116.5</v>
      </c>
      <c r="H112" s="93"/>
      <c r="I112" s="93"/>
      <c r="J112" s="48">
        <f t="shared" si="5"/>
        <v>0</v>
      </c>
      <c r="K112" s="161">
        <f t="shared" si="2"/>
        <v>335116.5</v>
      </c>
      <c r="L112" s="93"/>
      <c r="M112" s="129"/>
    </row>
    <row r="113" spans="1:13" ht="12.75" customHeight="1" x14ac:dyDescent="0.3">
      <c r="A113" s="159" t="s">
        <v>295</v>
      </c>
      <c r="B113" s="93">
        <v>0</v>
      </c>
      <c r="C113" s="93"/>
      <c r="D113" s="93"/>
      <c r="E113" s="93"/>
      <c r="F113" s="48">
        <f t="shared" si="4"/>
        <v>0</v>
      </c>
      <c r="G113" s="48">
        <f t="shared" si="1"/>
        <v>0</v>
      </c>
      <c r="H113" s="93"/>
      <c r="I113" s="93"/>
      <c r="J113" s="48">
        <f t="shared" si="5"/>
        <v>0</v>
      </c>
      <c r="K113" s="161">
        <f t="shared" si="2"/>
        <v>0</v>
      </c>
      <c r="L113" s="93"/>
      <c r="M113" s="129"/>
    </row>
    <row r="114" spans="1:13" ht="12.75" customHeight="1" x14ac:dyDescent="0.3">
      <c r="A114" s="159" t="s">
        <v>296</v>
      </c>
      <c r="B114" s="93">
        <v>0</v>
      </c>
      <c r="C114" s="93"/>
      <c r="D114" s="93"/>
      <c r="E114" s="93"/>
      <c r="F114" s="48">
        <f t="shared" si="4"/>
        <v>0</v>
      </c>
      <c r="G114" s="48">
        <f t="shared" si="1"/>
        <v>0</v>
      </c>
      <c r="H114" s="93"/>
      <c r="I114" s="93"/>
      <c r="J114" s="48">
        <f t="shared" si="5"/>
        <v>0</v>
      </c>
      <c r="K114" s="161">
        <f t="shared" si="2"/>
        <v>0</v>
      </c>
      <c r="L114" s="93"/>
      <c r="M114" s="129"/>
    </row>
    <row r="115" spans="1:13" ht="12.75" customHeight="1" x14ac:dyDescent="0.3">
      <c r="A115" s="159" t="s">
        <v>297</v>
      </c>
      <c r="B115" s="93">
        <v>0</v>
      </c>
      <c r="C115" s="93"/>
      <c r="D115" s="93"/>
      <c r="E115" s="93"/>
      <c r="F115" s="48">
        <f t="shared" si="4"/>
        <v>0</v>
      </c>
      <c r="G115" s="48">
        <f t="shared" si="1"/>
        <v>0</v>
      </c>
      <c r="H115" s="93"/>
      <c r="I115" s="93"/>
      <c r="J115" s="48">
        <f t="shared" si="5"/>
        <v>0</v>
      </c>
      <c r="K115" s="161">
        <f t="shared" si="2"/>
        <v>0</v>
      </c>
      <c r="L115" s="93"/>
      <c r="M115" s="129"/>
    </row>
    <row r="116" spans="1:13" ht="12.75" customHeight="1" x14ac:dyDescent="0.3">
      <c r="A116" s="159" t="s">
        <v>298</v>
      </c>
      <c r="B116" s="93">
        <v>0</v>
      </c>
      <c r="C116" s="93"/>
      <c r="D116" s="93"/>
      <c r="E116" s="93"/>
      <c r="F116" s="48">
        <f t="shared" si="4"/>
        <v>0</v>
      </c>
      <c r="G116" s="48">
        <f t="shared" si="1"/>
        <v>0</v>
      </c>
      <c r="H116" s="93"/>
      <c r="I116" s="93"/>
      <c r="J116" s="48">
        <f t="shared" si="5"/>
        <v>0</v>
      </c>
      <c r="K116" s="161">
        <f t="shared" si="2"/>
        <v>0</v>
      </c>
      <c r="L116" s="93"/>
      <c r="M116" s="129"/>
    </row>
    <row r="117" spans="1:13" ht="12.75" customHeight="1" x14ac:dyDescent="0.3">
      <c r="A117" s="159" t="s">
        <v>215</v>
      </c>
      <c r="B117" s="93">
        <v>0</v>
      </c>
      <c r="C117" s="93"/>
      <c r="D117" s="93"/>
      <c r="E117" s="93"/>
      <c r="F117" s="48">
        <f t="shared" si="4"/>
        <v>0</v>
      </c>
      <c r="G117" s="48">
        <f t="shared" si="1"/>
        <v>0</v>
      </c>
      <c r="H117" s="93"/>
      <c r="I117" s="93"/>
      <c r="J117" s="48">
        <f t="shared" si="5"/>
        <v>0</v>
      </c>
      <c r="K117" s="161">
        <f t="shared" si="2"/>
        <v>0</v>
      </c>
      <c r="L117" s="93"/>
      <c r="M117" s="129"/>
    </row>
    <row r="118" spans="1:13" ht="12.75" customHeight="1" x14ac:dyDescent="0.3">
      <c r="A118" s="158" t="s">
        <v>299</v>
      </c>
      <c r="B118" s="45">
        <f>SUM(B119:B122)</f>
        <v>0</v>
      </c>
      <c r="C118" s="45">
        <f>SUM(C119:C122)</f>
        <v>0</v>
      </c>
      <c r="D118" s="45">
        <f>SUM(D119:D122)</f>
        <v>0</v>
      </c>
      <c r="E118" s="45">
        <f>SUM(E119:E122)</f>
        <v>0</v>
      </c>
      <c r="F118" s="45">
        <f t="shared" si="4"/>
        <v>0</v>
      </c>
      <c r="G118" s="45">
        <f t="shared" si="1"/>
        <v>0</v>
      </c>
      <c r="H118" s="45">
        <f>SUM(H119:H122)</f>
        <v>0</v>
      </c>
      <c r="I118" s="45">
        <f>SUM(I119:I122)</f>
        <v>0</v>
      </c>
      <c r="J118" s="45">
        <f t="shared" si="5"/>
        <v>0</v>
      </c>
      <c r="K118" s="45">
        <f t="shared" si="2"/>
        <v>0</v>
      </c>
      <c r="L118" s="45">
        <f>SUM(L119:L122)</f>
        <v>0</v>
      </c>
      <c r="M118" s="129"/>
    </row>
    <row r="119" spans="1:13" ht="12.75" customHeight="1" x14ac:dyDescent="0.3">
      <c r="A119" s="159" t="s">
        <v>300</v>
      </c>
      <c r="B119" s="93">
        <v>0</v>
      </c>
      <c r="C119" s="93"/>
      <c r="D119" s="93"/>
      <c r="E119" s="93"/>
      <c r="F119" s="48">
        <f t="shared" si="4"/>
        <v>0</v>
      </c>
      <c r="G119" s="48">
        <f t="shared" si="1"/>
        <v>0</v>
      </c>
      <c r="H119" s="93"/>
      <c r="I119" s="93"/>
      <c r="J119" s="48">
        <f t="shared" si="5"/>
        <v>0</v>
      </c>
      <c r="K119" s="161">
        <f t="shared" si="2"/>
        <v>0</v>
      </c>
      <c r="L119" s="93"/>
      <c r="M119" s="129"/>
    </row>
    <row r="120" spans="1:13" ht="12.75" customHeight="1" x14ac:dyDescent="0.3">
      <c r="A120" s="159" t="s">
        <v>301</v>
      </c>
      <c r="B120" s="93">
        <v>0</v>
      </c>
      <c r="C120" s="93"/>
      <c r="D120" s="93"/>
      <c r="E120" s="93"/>
      <c r="F120" s="48">
        <f t="shared" si="4"/>
        <v>0</v>
      </c>
      <c r="G120" s="48">
        <f t="shared" si="1"/>
        <v>0</v>
      </c>
      <c r="H120" s="93"/>
      <c r="I120" s="93"/>
      <c r="J120" s="48">
        <f t="shared" si="5"/>
        <v>0</v>
      </c>
      <c r="K120" s="161">
        <f t="shared" si="2"/>
        <v>0</v>
      </c>
      <c r="L120" s="93"/>
      <c r="M120" s="129"/>
    </row>
    <row r="121" spans="1:13" ht="12.75" customHeight="1" x14ac:dyDescent="0.3">
      <c r="A121" s="159" t="s">
        <v>302</v>
      </c>
      <c r="B121" s="93">
        <v>0</v>
      </c>
      <c r="C121" s="93"/>
      <c r="D121" s="93"/>
      <c r="E121" s="93"/>
      <c r="F121" s="48">
        <f t="shared" si="4"/>
        <v>0</v>
      </c>
      <c r="G121" s="48">
        <f t="shared" si="1"/>
        <v>0</v>
      </c>
      <c r="H121" s="93"/>
      <c r="I121" s="93"/>
      <c r="J121" s="48">
        <f t="shared" si="5"/>
        <v>0</v>
      </c>
      <c r="K121" s="161">
        <f t="shared" si="2"/>
        <v>0</v>
      </c>
      <c r="L121" s="93"/>
      <c r="M121" s="129"/>
    </row>
    <row r="122" spans="1:13" ht="12.75" customHeight="1" x14ac:dyDescent="0.3">
      <c r="A122" s="159" t="s">
        <v>215</v>
      </c>
      <c r="B122" s="93">
        <v>0</v>
      </c>
      <c r="C122" s="93"/>
      <c r="D122" s="93"/>
      <c r="E122" s="93"/>
      <c r="F122" s="48">
        <f t="shared" si="4"/>
        <v>0</v>
      </c>
      <c r="G122" s="48">
        <f t="shared" si="1"/>
        <v>0</v>
      </c>
      <c r="H122" s="93"/>
      <c r="I122" s="93"/>
      <c r="J122" s="48">
        <f t="shared" si="5"/>
        <v>0</v>
      </c>
      <c r="K122" s="161">
        <f t="shared" si="2"/>
        <v>0</v>
      </c>
      <c r="L122" s="93"/>
      <c r="M122" s="129"/>
    </row>
    <row r="123" spans="1:13" ht="12.75" customHeight="1" x14ac:dyDescent="0.3">
      <c r="A123" s="158" t="s">
        <v>303</v>
      </c>
      <c r="B123" s="45">
        <f>SUM(B124:B129)</f>
        <v>1512950.18</v>
      </c>
      <c r="C123" s="45">
        <f>SUM(C124:C129)</f>
        <v>1512950.1800000002</v>
      </c>
      <c r="D123" s="45">
        <f>SUM(D124:D129)</f>
        <v>17253.2</v>
      </c>
      <c r="E123" s="45">
        <f>SUM(E124:E129)</f>
        <v>340900.14</v>
      </c>
      <c r="F123" s="45">
        <f t="shared" si="4"/>
        <v>1.0132596837645945E-2</v>
      </c>
      <c r="G123" s="45">
        <f t="shared" si="1"/>
        <v>1172050.04</v>
      </c>
      <c r="H123" s="45">
        <f>SUM(H124:H129)</f>
        <v>58469.14</v>
      </c>
      <c r="I123" s="45">
        <f>SUM(I124:I129)</f>
        <v>261060.25</v>
      </c>
      <c r="J123" s="45">
        <f t="shared" si="5"/>
        <v>0</v>
      </c>
      <c r="K123" s="45">
        <f t="shared" si="2"/>
        <v>1251889.9300000002</v>
      </c>
      <c r="L123" s="45">
        <f>SUM(L124:L129)</f>
        <v>0</v>
      </c>
      <c r="M123" s="129"/>
    </row>
    <row r="124" spans="1:13" ht="12.75" customHeight="1" x14ac:dyDescent="0.3">
      <c r="A124" s="159" t="s">
        <v>304</v>
      </c>
      <c r="B124" s="860">
        <v>270480</v>
      </c>
      <c r="C124" s="93">
        <v>198237.6</v>
      </c>
      <c r="D124" s="93"/>
      <c r="E124" s="93"/>
      <c r="F124" s="48">
        <f t="shared" si="4"/>
        <v>0</v>
      </c>
      <c r="G124" s="48">
        <f t="shared" si="1"/>
        <v>198237.6</v>
      </c>
      <c r="H124" s="93"/>
      <c r="I124" s="93"/>
      <c r="J124" s="48">
        <f t="shared" ref="J124:J129" si="6">IF(I293="",0,IF(I293=0,0,I124/I$181))</f>
        <v>0</v>
      </c>
      <c r="K124" s="161">
        <f t="shared" si="2"/>
        <v>198237.6</v>
      </c>
      <c r="L124" s="93"/>
      <c r="M124" s="129"/>
    </row>
    <row r="125" spans="1:13" ht="12.75" customHeight="1" x14ac:dyDescent="0.3">
      <c r="A125" s="159" t="s">
        <v>305</v>
      </c>
      <c r="B125" s="860">
        <v>0</v>
      </c>
      <c r="C125" s="93"/>
      <c r="D125" s="93"/>
      <c r="E125" s="93"/>
      <c r="F125" s="48">
        <f t="shared" si="4"/>
        <v>0</v>
      </c>
      <c r="G125" s="48">
        <f t="shared" si="1"/>
        <v>0</v>
      </c>
      <c r="H125" s="93"/>
      <c r="I125" s="93"/>
      <c r="J125" s="48">
        <f t="shared" si="6"/>
        <v>0</v>
      </c>
      <c r="K125" s="161">
        <f t="shared" si="2"/>
        <v>0</v>
      </c>
      <c r="L125" s="93"/>
      <c r="M125" s="129"/>
    </row>
    <row r="126" spans="1:13" ht="12.75" customHeight="1" x14ac:dyDescent="0.3">
      <c r="A126" s="159" t="s">
        <v>306</v>
      </c>
      <c r="B126" s="860">
        <v>0</v>
      </c>
      <c r="C126" s="93"/>
      <c r="D126" s="93"/>
      <c r="E126" s="93"/>
      <c r="F126" s="48">
        <f t="shared" si="4"/>
        <v>0</v>
      </c>
      <c r="G126" s="48">
        <f t="shared" si="1"/>
        <v>0</v>
      </c>
      <c r="H126" s="93"/>
      <c r="I126" s="93"/>
      <c r="J126" s="48">
        <f t="shared" si="6"/>
        <v>0</v>
      </c>
      <c r="K126" s="161">
        <f t="shared" si="2"/>
        <v>0</v>
      </c>
      <c r="L126" s="93"/>
      <c r="M126" s="129"/>
    </row>
    <row r="127" spans="1:13" ht="12.75" customHeight="1" x14ac:dyDescent="0.3">
      <c r="A127" s="159" t="s">
        <v>307</v>
      </c>
      <c r="B127" s="860">
        <v>0</v>
      </c>
      <c r="C127" s="93"/>
      <c r="D127" s="93"/>
      <c r="E127" s="93"/>
      <c r="F127" s="48">
        <f t="shared" si="4"/>
        <v>0</v>
      </c>
      <c r="G127" s="48">
        <f t="shared" si="1"/>
        <v>0</v>
      </c>
      <c r="H127" s="93"/>
      <c r="I127" s="93"/>
      <c r="J127" s="48">
        <f t="shared" si="6"/>
        <v>0</v>
      </c>
      <c r="K127" s="161">
        <f t="shared" si="2"/>
        <v>0</v>
      </c>
      <c r="L127" s="93"/>
      <c r="M127" s="129"/>
    </row>
    <row r="128" spans="1:13" ht="12.75" customHeight="1" x14ac:dyDescent="0.3">
      <c r="A128" s="159" t="s">
        <v>308</v>
      </c>
      <c r="B128" s="860">
        <v>0</v>
      </c>
      <c r="C128" s="93"/>
      <c r="D128" s="93"/>
      <c r="E128" s="93"/>
      <c r="F128" s="48">
        <f t="shared" si="4"/>
        <v>0</v>
      </c>
      <c r="G128" s="48">
        <f t="shared" si="1"/>
        <v>0</v>
      </c>
      <c r="H128" s="93"/>
      <c r="I128" s="93"/>
      <c r="J128" s="48">
        <f t="shared" si="6"/>
        <v>0</v>
      </c>
      <c r="K128" s="161">
        <f t="shared" si="2"/>
        <v>0</v>
      </c>
      <c r="L128" s="93"/>
      <c r="M128" s="129"/>
    </row>
    <row r="129" spans="1:13" ht="12.75" customHeight="1" x14ac:dyDescent="0.3">
      <c r="A129" s="159" t="s">
        <v>215</v>
      </c>
      <c r="B129" s="860">
        <v>1242470.18</v>
      </c>
      <c r="C129" s="93">
        <v>1314712.58</v>
      </c>
      <c r="D129" s="93">
        <v>17253.2</v>
      </c>
      <c r="E129" s="93">
        <v>340900.14</v>
      </c>
      <c r="F129" s="48">
        <f t="shared" si="4"/>
        <v>1.0132596837645945E-2</v>
      </c>
      <c r="G129" s="48">
        <f t="shared" si="1"/>
        <v>973812.44000000006</v>
      </c>
      <c r="H129" s="93">
        <v>58469.14</v>
      </c>
      <c r="I129" s="93">
        <v>261060.25</v>
      </c>
      <c r="J129" s="48">
        <f t="shared" si="6"/>
        <v>0</v>
      </c>
      <c r="K129" s="161">
        <f t="shared" si="2"/>
        <v>1053652.33</v>
      </c>
      <c r="L129" s="93"/>
      <c r="M129" s="129"/>
    </row>
    <row r="130" spans="1:13" ht="12.75" customHeight="1" x14ac:dyDescent="0.3">
      <c r="A130" s="158" t="s">
        <v>309</v>
      </c>
      <c r="B130" s="45">
        <f>SUM(B131:B132)</f>
        <v>0</v>
      </c>
      <c r="C130" s="45">
        <f>SUM(C131:C132)</f>
        <v>0</v>
      </c>
      <c r="D130" s="45">
        <f>SUM(D131:D132)</f>
        <v>0</v>
      </c>
      <c r="E130" s="45">
        <f>SUM(E131:E132)</f>
        <v>0</v>
      </c>
      <c r="F130" s="45">
        <f t="shared" si="4"/>
        <v>0</v>
      </c>
      <c r="G130" s="45">
        <f t="shared" si="1"/>
        <v>0</v>
      </c>
      <c r="H130" s="45">
        <f>SUM(H131:H132)</f>
        <v>0</v>
      </c>
      <c r="I130" s="45">
        <f>SUM(I131:I132)</f>
        <v>0</v>
      </c>
      <c r="J130" s="45">
        <f t="shared" ref="J130:J177" si="7">IF(I297="",0,IF(I297=0,0,I130/I$181))</f>
        <v>0</v>
      </c>
      <c r="K130" s="45">
        <f t="shared" si="2"/>
        <v>0</v>
      </c>
      <c r="L130" s="45">
        <f>SUM(L131:L132)</f>
        <v>0</v>
      </c>
      <c r="M130" s="129"/>
    </row>
    <row r="131" spans="1:13" ht="12.75" customHeight="1" x14ac:dyDescent="0.3">
      <c r="A131" s="159" t="s">
        <v>310</v>
      </c>
      <c r="B131" s="93">
        <v>0</v>
      </c>
      <c r="C131" s="93"/>
      <c r="D131" s="93"/>
      <c r="E131" s="93"/>
      <c r="F131" s="48">
        <f t="shared" si="4"/>
        <v>0</v>
      </c>
      <c r="G131" s="48">
        <f t="shared" si="1"/>
        <v>0</v>
      </c>
      <c r="H131" s="93"/>
      <c r="I131" s="93"/>
      <c r="J131" s="48">
        <f t="shared" si="7"/>
        <v>0</v>
      </c>
      <c r="K131" s="161">
        <f t="shared" si="2"/>
        <v>0</v>
      </c>
      <c r="L131" s="93"/>
      <c r="M131" s="129"/>
    </row>
    <row r="132" spans="1:13" ht="12.75" customHeight="1" x14ac:dyDescent="0.3">
      <c r="A132" s="159" t="s">
        <v>311</v>
      </c>
      <c r="B132" s="93">
        <v>0</v>
      </c>
      <c r="C132" s="93"/>
      <c r="D132" s="93"/>
      <c r="E132" s="93"/>
      <c r="F132" s="48">
        <f t="shared" si="4"/>
        <v>0</v>
      </c>
      <c r="G132" s="48">
        <f t="shared" si="1"/>
        <v>0</v>
      </c>
      <c r="H132" s="93"/>
      <c r="I132" s="93"/>
      <c r="J132" s="48">
        <f t="shared" si="7"/>
        <v>0</v>
      </c>
      <c r="K132" s="161">
        <f t="shared" si="2"/>
        <v>0</v>
      </c>
      <c r="L132" s="93"/>
      <c r="M132" s="129"/>
    </row>
    <row r="133" spans="1:13" ht="12.75" customHeight="1" x14ac:dyDescent="0.3">
      <c r="A133" s="158" t="s">
        <v>312</v>
      </c>
      <c r="B133" s="45">
        <f>SUM(B134:B139)</f>
        <v>0</v>
      </c>
      <c r="C133" s="45">
        <f>SUM(C134:C139)</f>
        <v>0</v>
      </c>
      <c r="D133" s="45">
        <f>SUM(D134:D139)</f>
        <v>0</v>
      </c>
      <c r="E133" s="45">
        <f>SUM(E134:E139)</f>
        <v>0</v>
      </c>
      <c r="F133" s="45">
        <f t="shared" si="4"/>
        <v>0</v>
      </c>
      <c r="G133" s="45">
        <f t="shared" si="1"/>
        <v>0</v>
      </c>
      <c r="H133" s="45">
        <f>SUM(H134:H139)</f>
        <v>0</v>
      </c>
      <c r="I133" s="45">
        <f>SUM(I134:I139)</f>
        <v>0</v>
      </c>
      <c r="J133" s="45">
        <f t="shared" si="7"/>
        <v>0</v>
      </c>
      <c r="K133" s="45">
        <f t="shared" si="2"/>
        <v>0</v>
      </c>
      <c r="L133" s="45">
        <f>SUM(L134:L139)</f>
        <v>0</v>
      </c>
      <c r="M133" s="129"/>
    </row>
    <row r="134" spans="1:13" ht="12.75" customHeight="1" x14ac:dyDescent="0.3">
      <c r="A134" s="159" t="s">
        <v>313</v>
      </c>
      <c r="B134" s="93">
        <v>0</v>
      </c>
      <c r="C134" s="93"/>
      <c r="D134" s="93"/>
      <c r="E134" s="93"/>
      <c r="F134" s="48">
        <f t="shared" si="4"/>
        <v>0</v>
      </c>
      <c r="G134" s="48">
        <f t="shared" si="1"/>
        <v>0</v>
      </c>
      <c r="H134" s="93"/>
      <c r="I134" s="93"/>
      <c r="J134" s="48">
        <f t="shared" si="7"/>
        <v>0</v>
      </c>
      <c r="K134" s="161">
        <f t="shared" si="2"/>
        <v>0</v>
      </c>
      <c r="L134" s="93"/>
      <c r="M134" s="129"/>
    </row>
    <row r="135" spans="1:13" ht="12.75" customHeight="1" x14ac:dyDescent="0.3">
      <c r="A135" s="159" t="s">
        <v>314</v>
      </c>
      <c r="B135" s="93">
        <v>0</v>
      </c>
      <c r="C135" s="93"/>
      <c r="D135" s="93"/>
      <c r="E135" s="93"/>
      <c r="F135" s="48">
        <f t="shared" si="4"/>
        <v>0</v>
      </c>
      <c r="G135" s="48">
        <f t="shared" si="1"/>
        <v>0</v>
      </c>
      <c r="H135" s="93"/>
      <c r="I135" s="93"/>
      <c r="J135" s="48">
        <f t="shared" si="7"/>
        <v>0</v>
      </c>
      <c r="K135" s="161">
        <f t="shared" si="2"/>
        <v>0</v>
      </c>
      <c r="L135" s="93"/>
      <c r="M135" s="129"/>
    </row>
    <row r="136" spans="1:13" ht="12.75" customHeight="1" x14ac:dyDescent="0.3">
      <c r="A136" s="159" t="s">
        <v>315</v>
      </c>
      <c r="B136" s="93">
        <v>0</v>
      </c>
      <c r="C136" s="93"/>
      <c r="D136" s="93"/>
      <c r="E136" s="93"/>
      <c r="F136" s="48">
        <f t="shared" si="4"/>
        <v>0</v>
      </c>
      <c r="G136" s="48">
        <f t="shared" si="1"/>
        <v>0</v>
      </c>
      <c r="H136" s="93"/>
      <c r="I136" s="93"/>
      <c r="J136" s="48">
        <f t="shared" si="7"/>
        <v>0</v>
      </c>
      <c r="K136" s="161">
        <f t="shared" si="2"/>
        <v>0</v>
      </c>
      <c r="L136" s="93"/>
      <c r="M136" s="129"/>
    </row>
    <row r="137" spans="1:13" ht="12.75" customHeight="1" x14ac:dyDescent="0.3">
      <c r="A137" s="159" t="s">
        <v>316</v>
      </c>
      <c r="B137" s="93">
        <v>0</v>
      </c>
      <c r="C137" s="93"/>
      <c r="D137" s="93"/>
      <c r="E137" s="93"/>
      <c r="F137" s="48">
        <f t="shared" si="4"/>
        <v>0</v>
      </c>
      <c r="G137" s="48">
        <f t="shared" si="1"/>
        <v>0</v>
      </c>
      <c r="H137" s="93"/>
      <c r="I137" s="93"/>
      <c r="J137" s="48">
        <f t="shared" si="7"/>
        <v>0</v>
      </c>
      <c r="K137" s="161">
        <f t="shared" si="2"/>
        <v>0</v>
      </c>
      <c r="L137" s="93"/>
      <c r="M137" s="129"/>
    </row>
    <row r="138" spans="1:13" ht="12.75" customHeight="1" x14ac:dyDescent="0.3">
      <c r="A138" s="159" t="s">
        <v>317</v>
      </c>
      <c r="B138" s="93">
        <v>0</v>
      </c>
      <c r="C138" s="93"/>
      <c r="D138" s="93"/>
      <c r="E138" s="93"/>
      <c r="F138" s="48">
        <f t="shared" si="4"/>
        <v>0</v>
      </c>
      <c r="G138" s="48">
        <f t="shared" si="1"/>
        <v>0</v>
      </c>
      <c r="H138" s="93"/>
      <c r="I138" s="93"/>
      <c r="J138" s="48">
        <f t="shared" si="7"/>
        <v>0</v>
      </c>
      <c r="K138" s="161">
        <f t="shared" si="2"/>
        <v>0</v>
      </c>
      <c r="L138" s="93"/>
      <c r="M138" s="129"/>
    </row>
    <row r="139" spans="1:13" ht="12.75" customHeight="1" x14ac:dyDescent="0.3">
      <c r="A139" s="159" t="s">
        <v>215</v>
      </c>
      <c r="B139" s="93">
        <v>0</v>
      </c>
      <c r="C139" s="93"/>
      <c r="D139" s="93"/>
      <c r="E139" s="93"/>
      <c r="F139" s="48">
        <f t="shared" si="4"/>
        <v>0</v>
      </c>
      <c r="G139" s="48">
        <f t="shared" si="1"/>
        <v>0</v>
      </c>
      <c r="H139" s="93"/>
      <c r="I139" s="93"/>
      <c r="J139" s="48">
        <f t="shared" si="7"/>
        <v>0</v>
      </c>
      <c r="K139" s="161">
        <f t="shared" si="2"/>
        <v>0</v>
      </c>
      <c r="L139" s="93"/>
      <c r="M139" s="129"/>
    </row>
    <row r="140" spans="1:13" ht="12.75" customHeight="1" x14ac:dyDescent="0.3">
      <c r="A140" s="158" t="s">
        <v>318</v>
      </c>
      <c r="B140" s="45">
        <f>SUM(B141:B146)</f>
        <v>0</v>
      </c>
      <c r="C140" s="45">
        <f>SUM(C141:C146)</f>
        <v>0</v>
      </c>
      <c r="D140" s="45">
        <f>SUM(D141:D146)</f>
        <v>0</v>
      </c>
      <c r="E140" s="45">
        <f>SUM(E141:E146)</f>
        <v>0</v>
      </c>
      <c r="F140" s="45">
        <f t="shared" si="4"/>
        <v>0</v>
      </c>
      <c r="G140" s="45">
        <f t="shared" si="1"/>
        <v>0</v>
      </c>
      <c r="H140" s="45">
        <f>SUM(H141:H146)</f>
        <v>0</v>
      </c>
      <c r="I140" s="45">
        <f>SUM(I141:I146)</f>
        <v>0</v>
      </c>
      <c r="J140" s="45">
        <f t="shared" si="7"/>
        <v>0</v>
      </c>
      <c r="K140" s="45">
        <f t="shared" si="2"/>
        <v>0</v>
      </c>
      <c r="L140" s="45">
        <f>SUM(L141:L146)</f>
        <v>0</v>
      </c>
      <c r="M140" s="129"/>
    </row>
    <row r="141" spans="1:13" ht="12.75" customHeight="1" x14ac:dyDescent="0.3">
      <c r="A141" s="159" t="s">
        <v>319</v>
      </c>
      <c r="B141" s="93">
        <v>0</v>
      </c>
      <c r="C141" s="93"/>
      <c r="D141" s="93"/>
      <c r="E141" s="93"/>
      <c r="F141" s="48">
        <f t="shared" si="4"/>
        <v>0</v>
      </c>
      <c r="G141" s="48">
        <f t="shared" si="1"/>
        <v>0</v>
      </c>
      <c r="H141" s="93"/>
      <c r="I141" s="93"/>
      <c r="J141" s="48">
        <f t="shared" si="7"/>
        <v>0</v>
      </c>
      <c r="K141" s="161">
        <f t="shared" si="2"/>
        <v>0</v>
      </c>
      <c r="L141" s="93"/>
      <c r="M141" s="129"/>
    </row>
    <row r="142" spans="1:13" ht="12.75" customHeight="1" x14ac:dyDescent="0.3">
      <c r="A142" s="159" t="s">
        <v>320</v>
      </c>
      <c r="B142" s="93"/>
      <c r="C142" s="93"/>
      <c r="D142" s="93"/>
      <c r="E142" s="93"/>
      <c r="F142" s="48">
        <f t="shared" si="4"/>
        <v>0</v>
      </c>
      <c r="G142" s="48">
        <f t="shared" si="1"/>
        <v>0</v>
      </c>
      <c r="H142" s="93"/>
      <c r="I142" s="93"/>
      <c r="J142" s="48">
        <f t="shared" si="7"/>
        <v>0</v>
      </c>
      <c r="K142" s="161">
        <f t="shared" si="2"/>
        <v>0</v>
      </c>
      <c r="L142" s="93"/>
      <c r="M142" s="129"/>
    </row>
    <row r="143" spans="1:13" ht="12.75" customHeight="1" x14ac:dyDescent="0.3">
      <c r="A143" s="159" t="s">
        <v>321</v>
      </c>
      <c r="B143" s="93">
        <v>0</v>
      </c>
      <c r="C143" s="93"/>
      <c r="D143" s="93"/>
      <c r="E143" s="93"/>
      <c r="F143" s="48">
        <f t="shared" si="4"/>
        <v>0</v>
      </c>
      <c r="G143" s="48">
        <f t="shared" si="1"/>
        <v>0</v>
      </c>
      <c r="H143" s="93"/>
      <c r="I143" s="93"/>
      <c r="J143" s="48">
        <f t="shared" si="7"/>
        <v>0</v>
      </c>
      <c r="K143" s="161">
        <f t="shared" si="2"/>
        <v>0</v>
      </c>
      <c r="L143" s="93"/>
      <c r="M143" s="129"/>
    </row>
    <row r="144" spans="1:13" ht="12.75" customHeight="1" x14ac:dyDescent="0.3">
      <c r="A144" s="159" t="s">
        <v>322</v>
      </c>
      <c r="B144" s="93">
        <v>0</v>
      </c>
      <c r="C144" s="93"/>
      <c r="D144" s="93"/>
      <c r="E144" s="93"/>
      <c r="F144" s="48">
        <f t="shared" si="4"/>
        <v>0</v>
      </c>
      <c r="G144" s="48">
        <f t="shared" si="1"/>
        <v>0</v>
      </c>
      <c r="H144" s="93"/>
      <c r="I144" s="93"/>
      <c r="J144" s="48">
        <f t="shared" si="7"/>
        <v>0</v>
      </c>
      <c r="K144" s="161">
        <f t="shared" si="2"/>
        <v>0</v>
      </c>
      <c r="L144" s="93"/>
      <c r="M144" s="129"/>
    </row>
    <row r="145" spans="1:13" ht="12.75" customHeight="1" x14ac:dyDescent="0.3">
      <c r="A145" s="159" t="s">
        <v>323</v>
      </c>
      <c r="B145" s="93">
        <v>0</v>
      </c>
      <c r="C145" s="93"/>
      <c r="D145" s="93"/>
      <c r="E145" s="93"/>
      <c r="F145" s="48">
        <f t="shared" si="4"/>
        <v>0</v>
      </c>
      <c r="G145" s="48">
        <f t="shared" si="1"/>
        <v>0</v>
      </c>
      <c r="H145" s="93"/>
      <c r="I145" s="93"/>
      <c r="J145" s="48">
        <f t="shared" si="7"/>
        <v>0</v>
      </c>
      <c r="K145" s="161">
        <f t="shared" si="2"/>
        <v>0</v>
      </c>
      <c r="L145" s="93"/>
      <c r="M145" s="129"/>
    </row>
    <row r="146" spans="1:13" ht="12.75" customHeight="1" x14ac:dyDescent="0.3">
      <c r="A146" s="159" t="s">
        <v>215</v>
      </c>
      <c r="B146" s="93">
        <v>0</v>
      </c>
      <c r="C146" s="93"/>
      <c r="D146" s="93"/>
      <c r="E146" s="93"/>
      <c r="F146" s="48">
        <f t="shared" si="4"/>
        <v>0</v>
      </c>
      <c r="G146" s="48">
        <f t="shared" si="1"/>
        <v>0</v>
      </c>
      <c r="H146" s="93"/>
      <c r="I146" s="93"/>
      <c r="J146" s="48">
        <f t="shared" si="7"/>
        <v>0</v>
      </c>
      <c r="K146" s="161">
        <f t="shared" si="2"/>
        <v>0</v>
      </c>
      <c r="L146" s="93"/>
      <c r="M146" s="129"/>
    </row>
    <row r="147" spans="1:13" ht="12.75" customHeight="1" x14ac:dyDescent="0.3">
      <c r="A147" s="158" t="s">
        <v>324</v>
      </c>
      <c r="B147" s="45">
        <f>SUM(B148:B150)</f>
        <v>0</v>
      </c>
      <c r="C147" s="45">
        <f>SUM(C148:C150)</f>
        <v>0</v>
      </c>
      <c r="D147" s="45">
        <f>SUM(D148:D150)</f>
        <v>0</v>
      </c>
      <c r="E147" s="45">
        <f>SUM(E148:E150)</f>
        <v>0</v>
      </c>
      <c r="F147" s="45">
        <f t="shared" si="4"/>
        <v>0</v>
      </c>
      <c r="G147" s="45">
        <f t="shared" si="1"/>
        <v>0</v>
      </c>
      <c r="H147" s="45">
        <f>SUM(H148:H150)</f>
        <v>0</v>
      </c>
      <c r="I147" s="45">
        <f>SUM(I148:I150)</f>
        <v>0</v>
      </c>
      <c r="J147" s="45">
        <f t="shared" si="7"/>
        <v>0</v>
      </c>
      <c r="K147" s="45">
        <f t="shared" si="2"/>
        <v>0</v>
      </c>
      <c r="L147" s="45">
        <f>SUM(L148:L150)</f>
        <v>0</v>
      </c>
      <c r="M147" s="129"/>
    </row>
    <row r="148" spans="1:13" ht="12.75" customHeight="1" x14ac:dyDescent="0.3">
      <c r="A148" s="159" t="s">
        <v>325</v>
      </c>
      <c r="B148" s="93"/>
      <c r="C148" s="93"/>
      <c r="D148" s="93"/>
      <c r="E148" s="93"/>
      <c r="F148" s="48">
        <f t="shared" si="4"/>
        <v>0</v>
      </c>
      <c r="G148" s="48">
        <f t="shared" si="1"/>
        <v>0</v>
      </c>
      <c r="H148" s="93"/>
      <c r="I148" s="93"/>
      <c r="J148" s="48">
        <f t="shared" si="7"/>
        <v>0</v>
      </c>
      <c r="K148" s="161">
        <f t="shared" si="2"/>
        <v>0</v>
      </c>
      <c r="L148" s="93"/>
      <c r="M148" s="129"/>
    </row>
    <row r="149" spans="1:13" ht="12.75" customHeight="1" x14ac:dyDescent="0.3">
      <c r="A149" s="159" t="s">
        <v>326</v>
      </c>
      <c r="B149" s="93"/>
      <c r="C149" s="93"/>
      <c r="D149" s="93"/>
      <c r="E149" s="93"/>
      <c r="F149" s="48">
        <f t="shared" si="4"/>
        <v>0</v>
      </c>
      <c r="G149" s="48">
        <f t="shared" si="1"/>
        <v>0</v>
      </c>
      <c r="H149" s="93"/>
      <c r="I149" s="93"/>
      <c r="J149" s="48">
        <f t="shared" si="7"/>
        <v>0</v>
      </c>
      <c r="K149" s="161">
        <f t="shared" si="2"/>
        <v>0</v>
      </c>
      <c r="L149" s="93"/>
      <c r="M149" s="129"/>
    </row>
    <row r="150" spans="1:13" ht="12.75" customHeight="1" x14ac:dyDescent="0.3">
      <c r="A150" s="159" t="s">
        <v>215</v>
      </c>
      <c r="B150" s="93"/>
      <c r="C150" s="93"/>
      <c r="D150" s="93"/>
      <c r="E150" s="93"/>
      <c r="F150" s="48">
        <f t="shared" si="4"/>
        <v>0</v>
      </c>
      <c r="G150" s="48">
        <f t="shared" si="1"/>
        <v>0</v>
      </c>
      <c r="H150" s="93"/>
      <c r="I150" s="93"/>
      <c r="J150" s="48">
        <f t="shared" si="7"/>
        <v>0</v>
      </c>
      <c r="K150" s="161">
        <f t="shared" si="2"/>
        <v>0</v>
      </c>
      <c r="L150" s="93"/>
      <c r="M150" s="129"/>
    </row>
    <row r="151" spans="1:13" ht="12.75" customHeight="1" x14ac:dyDescent="0.3">
      <c r="A151" s="158" t="s">
        <v>327</v>
      </c>
      <c r="B151" s="45">
        <f>SUM(B152:B156)</f>
        <v>0</v>
      </c>
      <c r="C151" s="45">
        <f>SUM(C152:C156)</f>
        <v>0</v>
      </c>
      <c r="D151" s="45">
        <f>SUM(D152:D156)</f>
        <v>0</v>
      </c>
      <c r="E151" s="45">
        <f>SUM(E152:E156)</f>
        <v>0</v>
      </c>
      <c r="F151" s="45">
        <f t="shared" si="4"/>
        <v>0</v>
      </c>
      <c r="G151" s="45">
        <f t="shared" si="1"/>
        <v>0</v>
      </c>
      <c r="H151" s="45">
        <f>SUM(H152:H156)</f>
        <v>0</v>
      </c>
      <c r="I151" s="45">
        <f>SUM(I152:I156)</f>
        <v>0</v>
      </c>
      <c r="J151" s="45">
        <f t="shared" si="7"/>
        <v>0</v>
      </c>
      <c r="K151" s="45">
        <f t="shared" si="2"/>
        <v>0</v>
      </c>
      <c r="L151" s="45">
        <f>SUM(L152:L156)</f>
        <v>0</v>
      </c>
      <c r="M151" s="129"/>
    </row>
    <row r="152" spans="1:13" ht="12.75" customHeight="1" x14ac:dyDescent="0.3">
      <c r="A152" s="159" t="s">
        <v>328</v>
      </c>
      <c r="B152" s="93"/>
      <c r="C152" s="93"/>
      <c r="D152" s="93"/>
      <c r="E152" s="93"/>
      <c r="F152" s="48">
        <f t="shared" si="4"/>
        <v>0</v>
      </c>
      <c r="G152" s="48">
        <f t="shared" si="1"/>
        <v>0</v>
      </c>
      <c r="H152" s="93"/>
      <c r="I152" s="93"/>
      <c r="J152" s="48">
        <f t="shared" si="7"/>
        <v>0</v>
      </c>
      <c r="K152" s="161">
        <f t="shared" si="2"/>
        <v>0</v>
      </c>
      <c r="L152" s="93"/>
      <c r="M152" s="129"/>
    </row>
    <row r="153" spans="1:13" ht="12.75" customHeight="1" x14ac:dyDescent="0.3">
      <c r="A153" s="159" t="s">
        <v>329</v>
      </c>
      <c r="B153" s="93"/>
      <c r="C153" s="93"/>
      <c r="D153" s="93"/>
      <c r="E153" s="93"/>
      <c r="F153" s="48">
        <f t="shared" si="4"/>
        <v>0</v>
      </c>
      <c r="G153" s="48">
        <f t="shared" si="1"/>
        <v>0</v>
      </c>
      <c r="H153" s="93"/>
      <c r="I153" s="93"/>
      <c r="J153" s="48">
        <f t="shared" si="7"/>
        <v>0</v>
      </c>
      <c r="K153" s="161">
        <f t="shared" si="2"/>
        <v>0</v>
      </c>
      <c r="L153" s="93"/>
      <c r="M153" s="129"/>
    </row>
    <row r="154" spans="1:13" ht="12.75" customHeight="1" x14ac:dyDescent="0.3">
      <c r="A154" s="159" t="s">
        <v>330</v>
      </c>
      <c r="B154" s="93"/>
      <c r="C154" s="93"/>
      <c r="D154" s="93"/>
      <c r="E154" s="93"/>
      <c r="F154" s="48">
        <f t="shared" si="4"/>
        <v>0</v>
      </c>
      <c r="G154" s="48">
        <f t="shared" si="1"/>
        <v>0</v>
      </c>
      <c r="H154" s="93"/>
      <c r="I154" s="93"/>
      <c r="J154" s="48">
        <f t="shared" si="7"/>
        <v>0</v>
      </c>
      <c r="K154" s="161">
        <f t="shared" si="2"/>
        <v>0</v>
      </c>
      <c r="L154" s="93"/>
      <c r="M154" s="129"/>
    </row>
    <row r="155" spans="1:13" ht="12.75" customHeight="1" x14ac:dyDescent="0.3">
      <c r="A155" s="159" t="s">
        <v>331</v>
      </c>
      <c r="B155" s="93"/>
      <c r="C155" s="93"/>
      <c r="D155" s="93"/>
      <c r="E155" s="93"/>
      <c r="F155" s="48">
        <f t="shared" si="4"/>
        <v>0</v>
      </c>
      <c r="G155" s="48">
        <f t="shared" si="1"/>
        <v>0</v>
      </c>
      <c r="H155" s="93"/>
      <c r="I155" s="93"/>
      <c r="J155" s="48">
        <f t="shared" si="7"/>
        <v>0</v>
      </c>
      <c r="K155" s="161">
        <f t="shared" si="2"/>
        <v>0</v>
      </c>
      <c r="L155" s="93"/>
      <c r="M155" s="129"/>
    </row>
    <row r="156" spans="1:13" ht="12.75" customHeight="1" x14ac:dyDescent="0.3">
      <c r="A156" s="159" t="s">
        <v>215</v>
      </c>
      <c r="B156" s="93"/>
      <c r="C156" s="93"/>
      <c r="D156" s="93"/>
      <c r="E156" s="93"/>
      <c r="F156" s="48">
        <f t="shared" si="4"/>
        <v>0</v>
      </c>
      <c r="G156" s="48">
        <f t="shared" si="1"/>
        <v>0</v>
      </c>
      <c r="H156" s="93"/>
      <c r="I156" s="93"/>
      <c r="J156" s="48">
        <f t="shared" si="7"/>
        <v>0</v>
      </c>
      <c r="K156" s="161">
        <f t="shared" si="2"/>
        <v>0</v>
      </c>
      <c r="L156" s="93"/>
      <c r="M156" s="129"/>
    </row>
    <row r="157" spans="1:13" ht="12.75" customHeight="1" x14ac:dyDescent="0.3">
      <c r="A157" s="158" t="s">
        <v>332</v>
      </c>
      <c r="B157" s="45">
        <f>SUM(B158:B163)</f>
        <v>513165.32</v>
      </c>
      <c r="C157" s="45">
        <f>SUM(C158:C163)</f>
        <v>500801.39</v>
      </c>
      <c r="D157" s="45">
        <f>SUM(D158:D163)</f>
        <v>0</v>
      </c>
      <c r="E157" s="45">
        <f>SUM(E158:E163)</f>
        <v>42777.07</v>
      </c>
      <c r="F157" s="45">
        <f t="shared" si="4"/>
        <v>1.2714656092712639E-3</v>
      </c>
      <c r="G157" s="45">
        <f t="shared" si="1"/>
        <v>458024.32</v>
      </c>
      <c r="H157" s="45">
        <f>SUM(H158:H163)</f>
        <v>6324</v>
      </c>
      <c r="I157" s="45">
        <f>SUM(I158:I163)</f>
        <v>32835.07</v>
      </c>
      <c r="J157" s="45">
        <f t="shared" si="7"/>
        <v>0</v>
      </c>
      <c r="K157" s="45">
        <f t="shared" si="2"/>
        <v>467966.32</v>
      </c>
      <c r="L157" s="45">
        <f>SUM(L158:L163)</f>
        <v>0</v>
      </c>
      <c r="M157" s="129"/>
    </row>
    <row r="158" spans="1:13" ht="12.75" customHeight="1" x14ac:dyDescent="0.3">
      <c r="A158" s="159" t="s">
        <v>333</v>
      </c>
      <c r="B158" s="93"/>
      <c r="C158" s="93"/>
      <c r="D158" s="93"/>
      <c r="E158" s="93"/>
      <c r="F158" s="48">
        <f t="shared" si="4"/>
        <v>0</v>
      </c>
      <c r="G158" s="48">
        <f t="shared" si="1"/>
        <v>0</v>
      </c>
      <c r="H158" s="93"/>
      <c r="I158" s="93"/>
      <c r="J158" s="48">
        <f t="shared" si="7"/>
        <v>0</v>
      </c>
      <c r="K158" s="161">
        <f t="shared" si="2"/>
        <v>0</v>
      </c>
      <c r="L158" s="93"/>
      <c r="M158" s="129"/>
    </row>
    <row r="159" spans="1:13" ht="12.75" customHeight="1" x14ac:dyDescent="0.3">
      <c r="A159" s="159" t="s">
        <v>334</v>
      </c>
      <c r="B159" s="93">
        <v>513165.32</v>
      </c>
      <c r="C159" s="93">
        <v>500801.39</v>
      </c>
      <c r="D159" s="93"/>
      <c r="E159" s="93">
        <v>42777.07</v>
      </c>
      <c r="F159" s="48">
        <f t="shared" si="4"/>
        <v>1.2714656092712639E-3</v>
      </c>
      <c r="G159" s="48">
        <f t="shared" si="1"/>
        <v>458024.32</v>
      </c>
      <c r="H159" s="93">
        <v>6324</v>
      </c>
      <c r="I159" s="93">
        <v>32835.07</v>
      </c>
      <c r="J159" s="48">
        <f t="shared" si="7"/>
        <v>0</v>
      </c>
      <c r="K159" s="161">
        <f t="shared" si="2"/>
        <v>467966.32</v>
      </c>
      <c r="L159" s="93"/>
      <c r="M159" s="129"/>
    </row>
    <row r="160" spans="1:13" ht="12.75" customHeight="1" x14ac:dyDescent="0.3">
      <c r="A160" s="159" t="s">
        <v>335</v>
      </c>
      <c r="B160" s="93"/>
      <c r="C160" s="93"/>
      <c r="D160" s="93"/>
      <c r="E160" s="93"/>
      <c r="F160" s="48">
        <f t="shared" si="4"/>
        <v>0</v>
      </c>
      <c r="G160" s="48">
        <f t="shared" si="1"/>
        <v>0</v>
      </c>
      <c r="H160" s="93"/>
      <c r="I160" s="93"/>
      <c r="J160" s="48">
        <f t="shared" si="7"/>
        <v>0</v>
      </c>
      <c r="K160" s="161">
        <f t="shared" si="2"/>
        <v>0</v>
      </c>
      <c r="L160" s="93"/>
      <c r="M160" s="129"/>
    </row>
    <row r="161" spans="1:13" ht="12.75" customHeight="1" x14ac:dyDescent="0.3">
      <c r="A161" s="159" t="s">
        <v>336</v>
      </c>
      <c r="B161" s="93"/>
      <c r="C161" s="93"/>
      <c r="D161" s="93"/>
      <c r="E161" s="93"/>
      <c r="F161" s="48">
        <f t="shared" si="4"/>
        <v>0</v>
      </c>
      <c r="G161" s="48">
        <f t="shared" si="1"/>
        <v>0</v>
      </c>
      <c r="H161" s="93"/>
      <c r="I161" s="93"/>
      <c r="J161" s="48">
        <f t="shared" si="7"/>
        <v>0</v>
      </c>
      <c r="K161" s="161">
        <f t="shared" si="2"/>
        <v>0</v>
      </c>
      <c r="L161" s="93"/>
      <c r="M161" s="129"/>
    </row>
    <row r="162" spans="1:13" ht="12.75" customHeight="1" x14ac:dyDescent="0.3">
      <c r="A162" s="159" t="s">
        <v>337</v>
      </c>
      <c r="B162" s="93"/>
      <c r="C162" s="93"/>
      <c r="D162" s="93"/>
      <c r="E162" s="93"/>
      <c r="F162" s="48">
        <f t="shared" si="4"/>
        <v>0</v>
      </c>
      <c r="G162" s="48">
        <f t="shared" si="1"/>
        <v>0</v>
      </c>
      <c r="H162" s="93"/>
      <c r="I162" s="93"/>
      <c r="J162" s="48">
        <f t="shared" si="7"/>
        <v>0</v>
      </c>
      <c r="K162" s="161">
        <f t="shared" si="2"/>
        <v>0</v>
      </c>
      <c r="L162" s="93"/>
      <c r="M162" s="129"/>
    </row>
    <row r="163" spans="1:13" ht="12.75" customHeight="1" x14ac:dyDescent="0.3">
      <c r="A163" s="159" t="s">
        <v>215</v>
      </c>
      <c r="B163" s="93"/>
      <c r="C163" s="93"/>
      <c r="D163" s="93"/>
      <c r="E163" s="93"/>
      <c r="F163" s="48">
        <f t="shared" si="4"/>
        <v>0</v>
      </c>
      <c r="G163" s="48">
        <f t="shared" si="1"/>
        <v>0</v>
      </c>
      <c r="H163" s="93"/>
      <c r="I163" s="93"/>
      <c r="J163" s="48">
        <f t="shared" si="7"/>
        <v>0</v>
      </c>
      <c r="K163" s="161">
        <f t="shared" si="2"/>
        <v>0</v>
      </c>
      <c r="L163" s="93"/>
      <c r="M163" s="129"/>
    </row>
    <row r="164" spans="1:13" ht="12.75" customHeight="1" x14ac:dyDescent="0.3">
      <c r="A164" s="158" t="s">
        <v>338</v>
      </c>
      <c r="B164" s="45">
        <f>SUM(B165:B168)</f>
        <v>136713.43</v>
      </c>
      <c r="C164" s="45">
        <f>SUM(C165:C168)</f>
        <v>116713.43</v>
      </c>
      <c r="D164" s="45">
        <f>SUM(D165:D168)</f>
        <v>0</v>
      </c>
      <c r="E164" s="45">
        <f>SUM(E165:E168)</f>
        <v>0</v>
      </c>
      <c r="F164" s="45">
        <f t="shared" si="4"/>
        <v>0</v>
      </c>
      <c r="G164" s="45">
        <f t="shared" si="1"/>
        <v>116713.43</v>
      </c>
      <c r="H164" s="45">
        <f>SUM(H165:H168)</f>
        <v>0</v>
      </c>
      <c r="I164" s="45">
        <f>SUM(I165:I168)</f>
        <v>0</v>
      </c>
      <c r="J164" s="45">
        <f t="shared" si="7"/>
        <v>0</v>
      </c>
      <c r="K164" s="45">
        <f t="shared" si="2"/>
        <v>116713.43</v>
      </c>
      <c r="L164" s="45">
        <f>SUM(L165:L168)</f>
        <v>0</v>
      </c>
      <c r="M164" s="129"/>
    </row>
    <row r="165" spans="1:13" ht="12.75" customHeight="1" x14ac:dyDescent="0.3">
      <c r="A165" s="159" t="s">
        <v>339</v>
      </c>
      <c r="B165" s="93"/>
      <c r="C165" s="93"/>
      <c r="D165" s="93"/>
      <c r="E165" s="93"/>
      <c r="F165" s="48">
        <f t="shared" si="4"/>
        <v>0</v>
      </c>
      <c r="G165" s="48">
        <f t="shared" si="1"/>
        <v>0</v>
      </c>
      <c r="H165" s="93"/>
      <c r="I165" s="93"/>
      <c r="J165" s="48">
        <f t="shared" si="7"/>
        <v>0</v>
      </c>
      <c r="K165" s="161">
        <f t="shared" si="2"/>
        <v>0</v>
      </c>
      <c r="L165" s="93"/>
      <c r="M165" s="129"/>
    </row>
    <row r="166" spans="1:13" ht="12.75" customHeight="1" x14ac:dyDescent="0.3">
      <c r="A166" s="159" t="s">
        <v>340</v>
      </c>
      <c r="B166" s="93"/>
      <c r="C166" s="93"/>
      <c r="D166" s="93"/>
      <c r="E166" s="93"/>
      <c r="F166" s="48">
        <f t="shared" si="4"/>
        <v>0</v>
      </c>
      <c r="G166" s="48">
        <f t="shared" si="1"/>
        <v>0</v>
      </c>
      <c r="H166" s="93"/>
      <c r="I166" s="93"/>
      <c r="J166" s="48">
        <f t="shared" si="7"/>
        <v>0</v>
      </c>
      <c r="K166" s="161">
        <f t="shared" si="2"/>
        <v>0</v>
      </c>
      <c r="L166" s="93"/>
      <c r="M166" s="129"/>
    </row>
    <row r="167" spans="1:13" ht="12.75" customHeight="1" x14ac:dyDescent="0.3">
      <c r="A167" s="159" t="s">
        <v>341</v>
      </c>
      <c r="B167" s="93">
        <v>136713.43</v>
      </c>
      <c r="C167" s="93">
        <v>116713.43</v>
      </c>
      <c r="D167" s="93"/>
      <c r="E167" s="93"/>
      <c r="F167" s="48">
        <f t="shared" si="4"/>
        <v>0</v>
      </c>
      <c r="G167" s="48">
        <f t="shared" si="1"/>
        <v>116713.43</v>
      </c>
      <c r="H167" s="93"/>
      <c r="I167" s="93"/>
      <c r="J167" s="48">
        <f t="shared" si="7"/>
        <v>0</v>
      </c>
      <c r="K167" s="161">
        <f t="shared" si="2"/>
        <v>116713.43</v>
      </c>
      <c r="L167" s="93"/>
      <c r="M167" s="129"/>
    </row>
    <row r="168" spans="1:13" ht="12.75" customHeight="1" x14ac:dyDescent="0.3">
      <c r="A168" s="159" t="s">
        <v>215</v>
      </c>
      <c r="B168" s="93"/>
      <c r="C168" s="93"/>
      <c r="D168" s="93"/>
      <c r="E168" s="93"/>
      <c r="F168" s="48">
        <f t="shared" si="4"/>
        <v>0</v>
      </c>
      <c r="G168" s="48">
        <f t="shared" si="1"/>
        <v>0</v>
      </c>
      <c r="H168" s="93"/>
      <c r="I168" s="93"/>
      <c r="J168" s="48">
        <f t="shared" si="7"/>
        <v>0</v>
      </c>
      <c r="K168" s="161">
        <f t="shared" si="2"/>
        <v>0</v>
      </c>
      <c r="L168" s="93"/>
      <c r="M168" s="129"/>
    </row>
    <row r="169" spans="1:13" ht="12.75" customHeight="1" x14ac:dyDescent="0.3">
      <c r="A169" s="158" t="s">
        <v>342</v>
      </c>
      <c r="B169" s="45">
        <f>SUM(B170:B177)</f>
        <v>355093.44</v>
      </c>
      <c r="C169" s="45">
        <f>SUM(C170:C177)</f>
        <v>654110.37</v>
      </c>
      <c r="D169" s="45">
        <f>SUM(D170:D177)</f>
        <v>12777.28</v>
      </c>
      <c r="E169" s="45">
        <f>SUM(E170:E177)</f>
        <v>654110.37</v>
      </c>
      <c r="F169" s="45">
        <f t="shared" si="4"/>
        <v>1.9442164695307601E-2</v>
      </c>
      <c r="G169" s="45">
        <f t="shared" si="1"/>
        <v>0</v>
      </c>
      <c r="H169" s="45">
        <f>SUM(H170:H177)</f>
        <v>57656.72</v>
      </c>
      <c r="I169" s="45">
        <f>SUM(I170:I177)</f>
        <v>379729.47</v>
      </c>
      <c r="J169" s="45">
        <f t="shared" si="7"/>
        <v>0</v>
      </c>
      <c r="K169" s="45">
        <f t="shared" si="2"/>
        <v>274380.90000000002</v>
      </c>
      <c r="L169" s="45">
        <f>SUM(L170:L177)</f>
        <v>0</v>
      </c>
      <c r="M169" s="129"/>
    </row>
    <row r="170" spans="1:13" ht="12.75" customHeight="1" x14ac:dyDescent="0.3">
      <c r="A170" s="159" t="s">
        <v>343</v>
      </c>
      <c r="B170" s="93"/>
      <c r="C170" s="93"/>
      <c r="D170" s="93"/>
      <c r="E170" s="93"/>
      <c r="F170" s="48">
        <f t="shared" si="4"/>
        <v>0</v>
      </c>
      <c r="G170" s="48">
        <f t="shared" si="1"/>
        <v>0</v>
      </c>
      <c r="H170" s="93"/>
      <c r="I170" s="93"/>
      <c r="J170" s="48">
        <f t="shared" si="7"/>
        <v>0</v>
      </c>
      <c r="K170" s="161">
        <f t="shared" si="2"/>
        <v>0</v>
      </c>
      <c r="L170" s="93"/>
      <c r="M170" s="129"/>
    </row>
    <row r="171" spans="1:13" ht="12.75" customHeight="1" x14ac:dyDescent="0.3">
      <c r="A171" s="159" t="s">
        <v>344</v>
      </c>
      <c r="B171" s="93"/>
      <c r="C171" s="93"/>
      <c r="D171" s="93"/>
      <c r="E171" s="93"/>
      <c r="F171" s="48">
        <f t="shared" si="4"/>
        <v>0</v>
      </c>
      <c r="G171" s="48">
        <f t="shared" si="1"/>
        <v>0</v>
      </c>
      <c r="H171" s="93"/>
      <c r="I171" s="93"/>
      <c r="J171" s="48">
        <f t="shared" si="7"/>
        <v>0</v>
      </c>
      <c r="K171" s="161">
        <f t="shared" si="2"/>
        <v>0</v>
      </c>
      <c r="L171" s="93"/>
      <c r="M171" s="129"/>
    </row>
    <row r="172" spans="1:13" ht="12.75" customHeight="1" x14ac:dyDescent="0.3">
      <c r="A172" s="159" t="s">
        <v>345</v>
      </c>
      <c r="B172" s="93">
        <v>175068.13</v>
      </c>
      <c r="C172" s="93">
        <v>402014.89</v>
      </c>
      <c r="D172" s="93">
        <v>12777.28</v>
      </c>
      <c r="E172" s="93">
        <v>402014.89</v>
      </c>
      <c r="F172" s="48">
        <f t="shared" si="4"/>
        <v>1.1949114491711802E-2</v>
      </c>
      <c r="G172" s="48">
        <f t="shared" si="1"/>
        <v>0</v>
      </c>
      <c r="H172" s="93">
        <v>12777.28</v>
      </c>
      <c r="I172" s="93">
        <v>234219.51</v>
      </c>
      <c r="J172" s="48">
        <f t="shared" si="7"/>
        <v>0</v>
      </c>
      <c r="K172" s="161">
        <f t="shared" si="2"/>
        <v>167795.38</v>
      </c>
      <c r="L172" s="93"/>
      <c r="M172" s="129"/>
    </row>
    <row r="173" spans="1:13" ht="12.75" customHeight="1" x14ac:dyDescent="0.3">
      <c r="A173" s="159" t="s">
        <v>346</v>
      </c>
      <c r="B173" s="93"/>
      <c r="C173" s="93"/>
      <c r="D173" s="93"/>
      <c r="E173" s="93"/>
      <c r="F173" s="48">
        <f t="shared" si="4"/>
        <v>0</v>
      </c>
      <c r="G173" s="48">
        <f t="shared" si="1"/>
        <v>0</v>
      </c>
      <c r="H173" s="93"/>
      <c r="I173" s="93"/>
      <c r="J173" s="48">
        <f t="shared" si="7"/>
        <v>0</v>
      </c>
      <c r="K173" s="161">
        <f t="shared" si="2"/>
        <v>0</v>
      </c>
      <c r="L173" s="93"/>
      <c r="M173" s="129"/>
    </row>
    <row r="174" spans="1:13" ht="12.75" customHeight="1" x14ac:dyDescent="0.3">
      <c r="A174" s="159" t="s">
        <v>347</v>
      </c>
      <c r="B174" s="93"/>
      <c r="C174" s="93"/>
      <c r="D174" s="93"/>
      <c r="E174" s="93"/>
      <c r="F174" s="48">
        <f t="shared" si="4"/>
        <v>0</v>
      </c>
      <c r="G174" s="48">
        <f t="shared" si="1"/>
        <v>0</v>
      </c>
      <c r="H174" s="93"/>
      <c r="I174" s="93"/>
      <c r="J174" s="48">
        <f t="shared" si="7"/>
        <v>0</v>
      </c>
      <c r="K174" s="161">
        <f t="shared" si="2"/>
        <v>0</v>
      </c>
      <c r="L174" s="93"/>
      <c r="M174" s="129"/>
    </row>
    <row r="175" spans="1:13" ht="12.75" customHeight="1" x14ac:dyDescent="0.3">
      <c r="A175" s="159" t="s">
        <v>348</v>
      </c>
      <c r="B175" s="93">
        <v>180025.31</v>
      </c>
      <c r="C175" s="93">
        <v>252095.48</v>
      </c>
      <c r="D175" s="93"/>
      <c r="E175" s="93">
        <v>252095.48</v>
      </c>
      <c r="F175" s="48">
        <f t="shared" si="4"/>
        <v>7.4930502035957993E-3</v>
      </c>
      <c r="G175" s="48">
        <f t="shared" si="1"/>
        <v>0</v>
      </c>
      <c r="H175" s="93">
        <v>44879.44</v>
      </c>
      <c r="I175" s="93">
        <v>145509.96</v>
      </c>
      <c r="J175" s="48">
        <f t="shared" si="7"/>
        <v>0</v>
      </c>
      <c r="K175" s="161">
        <f t="shared" si="2"/>
        <v>106585.52000000002</v>
      </c>
      <c r="L175" s="93"/>
      <c r="M175" s="129"/>
    </row>
    <row r="176" spans="1:13" ht="12.75" customHeight="1" x14ac:dyDescent="0.3">
      <c r="A176" s="159" t="s">
        <v>349</v>
      </c>
      <c r="B176" s="93"/>
      <c r="C176" s="93"/>
      <c r="D176" s="93"/>
      <c r="E176" s="93"/>
      <c r="F176" s="48">
        <f t="shared" si="4"/>
        <v>0</v>
      </c>
      <c r="G176" s="48">
        <f t="shared" si="1"/>
        <v>0</v>
      </c>
      <c r="H176" s="93"/>
      <c r="I176" s="93"/>
      <c r="J176" s="48">
        <f t="shared" si="7"/>
        <v>0</v>
      </c>
      <c r="K176" s="161">
        <f t="shared" si="2"/>
        <v>0</v>
      </c>
      <c r="L176" s="93"/>
      <c r="M176" s="129"/>
    </row>
    <row r="177" spans="1:13" ht="12.75" customHeight="1" x14ac:dyDescent="0.3">
      <c r="A177" s="159" t="s">
        <v>215</v>
      </c>
      <c r="B177" s="93"/>
      <c r="C177" s="93"/>
      <c r="D177" s="93"/>
      <c r="E177" s="93"/>
      <c r="F177" s="48">
        <f t="shared" si="4"/>
        <v>0</v>
      </c>
      <c r="G177" s="48">
        <f t="shared" si="1"/>
        <v>0</v>
      </c>
      <c r="H177" s="93"/>
      <c r="I177" s="93">
        <v>0</v>
      </c>
      <c r="J177" s="48">
        <f t="shared" si="7"/>
        <v>0</v>
      </c>
      <c r="K177" s="161">
        <f t="shared" si="2"/>
        <v>0</v>
      </c>
      <c r="L177" s="93"/>
      <c r="M177" s="129"/>
    </row>
    <row r="178" spans="1:13" ht="12.75" customHeight="1" x14ac:dyDescent="0.3">
      <c r="A178" s="158" t="s">
        <v>148</v>
      </c>
      <c r="B178" s="162">
        <v>468826.25</v>
      </c>
      <c r="C178" s="162">
        <v>319451.25</v>
      </c>
      <c r="D178" s="163"/>
      <c r="E178" s="163"/>
      <c r="F178" s="163"/>
      <c r="G178" s="164">
        <f t="shared" si="1"/>
        <v>319451.25</v>
      </c>
      <c r="H178" s="163"/>
      <c r="I178" s="163"/>
      <c r="J178" s="163"/>
      <c r="K178" s="164">
        <f t="shared" si="2"/>
        <v>319451.25</v>
      </c>
      <c r="L178" s="163"/>
      <c r="M178" s="165"/>
    </row>
    <row r="179" spans="1:13" ht="12.75" hidden="1" customHeight="1" x14ac:dyDescent="0.3">
      <c r="A179" s="166"/>
      <c r="B179" s="167"/>
      <c r="C179" s="167"/>
      <c r="D179" s="163"/>
      <c r="E179" s="163"/>
      <c r="F179" s="163"/>
      <c r="G179" s="164">
        <f t="shared" si="1"/>
        <v>0</v>
      </c>
      <c r="H179" s="163"/>
      <c r="I179" s="163"/>
      <c r="J179" s="163"/>
      <c r="K179" s="164">
        <f t="shared" si="2"/>
        <v>0</v>
      </c>
      <c r="L179" s="163"/>
      <c r="M179" s="129"/>
    </row>
    <row r="180" spans="1:13" ht="12.75" customHeight="1" x14ac:dyDescent="0.3">
      <c r="A180" s="168" t="s">
        <v>350</v>
      </c>
      <c r="B180" s="169"/>
      <c r="C180" s="169"/>
      <c r="D180" s="169"/>
      <c r="E180" s="169"/>
      <c r="F180" s="42">
        <f>IF(E$181="",0,IF(E$181=0,0,E180/E$181))</f>
        <v>0</v>
      </c>
      <c r="G180" s="42">
        <f t="shared" si="1"/>
        <v>0</v>
      </c>
      <c r="H180" s="170"/>
      <c r="I180" s="170"/>
      <c r="J180" s="42">
        <f>IF(I347="",0,IF(I347=0,0,I180/I$181))</f>
        <v>0</v>
      </c>
      <c r="K180" s="171">
        <f t="shared" si="2"/>
        <v>0</v>
      </c>
      <c r="L180" s="169"/>
      <c r="M180" s="129"/>
    </row>
    <row r="181" spans="1:13" ht="12.75" customHeight="1" x14ac:dyDescent="0.3">
      <c r="A181" s="172" t="s">
        <v>351</v>
      </c>
      <c r="B181" s="173">
        <f t="shared" ref="B181:L181" si="8">+B180+B13</f>
        <v>50259789.899999991</v>
      </c>
      <c r="C181" s="173">
        <f t="shared" si="8"/>
        <v>50259789.899999999</v>
      </c>
      <c r="D181" s="173">
        <f t="shared" si="8"/>
        <v>1865758.3199999998</v>
      </c>
      <c r="E181" s="173">
        <f t="shared" si="8"/>
        <v>33643906.439999998</v>
      </c>
      <c r="F181" s="173">
        <f t="shared" si="8"/>
        <v>1</v>
      </c>
      <c r="G181" s="173">
        <f t="shared" si="8"/>
        <v>16615883.460000001</v>
      </c>
      <c r="H181" s="173">
        <f t="shared" si="8"/>
        <v>5391770</v>
      </c>
      <c r="I181" s="173">
        <f t="shared" si="8"/>
        <v>24833314.969999999</v>
      </c>
      <c r="J181" s="173">
        <f t="shared" si="8"/>
        <v>1</v>
      </c>
      <c r="K181" s="173">
        <f t="shared" si="8"/>
        <v>25426474.93</v>
      </c>
      <c r="L181" s="173">
        <f t="shared" si="8"/>
        <v>0</v>
      </c>
      <c r="M181" s="174"/>
    </row>
    <row r="182" spans="1:13" ht="11.25" customHeight="1" x14ac:dyDescent="0.3">
      <c r="A182" s="912" t="s">
        <v>160</v>
      </c>
      <c r="B182" s="912"/>
      <c r="C182" s="912"/>
      <c r="D182" s="912"/>
      <c r="E182" s="912"/>
      <c r="F182" s="912"/>
      <c r="G182" s="912"/>
      <c r="H182" s="912"/>
      <c r="I182" s="912"/>
      <c r="J182" s="912"/>
      <c r="K182" s="912"/>
    </row>
    <row r="183" spans="1:13" ht="11.25" customHeight="1" x14ac:dyDescent="0.3">
      <c r="A183" s="913" t="s">
        <v>352</v>
      </c>
      <c r="B183" s="913"/>
      <c r="C183" s="913"/>
    </row>
  </sheetData>
  <sheetProtection password="F3F6" sheet="1"/>
  <mergeCells count="17"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  <mergeCell ref="A3:L3"/>
    <mergeCell ref="A4:L4"/>
    <mergeCell ref="A5:L5"/>
    <mergeCell ref="A6:L6"/>
    <mergeCell ref="A7:L7"/>
    <mergeCell ref="A8:L8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A28" zoomScale="140" zoomScaleNormal="140" workbookViewId="0">
      <selection activeCell="D18" sqref="D18"/>
    </sheetView>
  </sheetViews>
  <sheetFormatPr defaultColWidth="3.81640625" defaultRowHeight="11.25" customHeight="1" x14ac:dyDescent="0.3"/>
  <cols>
    <col min="1" max="1" width="47.54296875" style="146" customWidth="1"/>
    <col min="2" max="7" width="17.7265625" style="146" customWidth="1"/>
    <col min="8" max="8" width="17.7265625" style="26" customWidth="1"/>
    <col min="9" max="12" width="17.7265625" style="146" customWidth="1"/>
    <col min="13" max="13" width="17.54296875" style="146" customWidth="1"/>
    <col min="14" max="14" width="18.81640625" style="146" customWidth="1"/>
    <col min="15" max="15" width="17.7265625" style="146" customWidth="1"/>
    <col min="16" max="18" width="3.81640625" style="146" customWidth="1"/>
    <col min="19" max="19" width="3" style="146" customWidth="1"/>
    <col min="20" max="16384" width="3.81640625" style="146"/>
  </cols>
  <sheetData>
    <row r="1" spans="1:21" ht="11.25" customHeight="1" x14ac:dyDescent="0.3">
      <c r="A1" s="30" t="s">
        <v>353</v>
      </c>
      <c r="Q1" s="175"/>
      <c r="R1" s="176" t="s">
        <v>354</v>
      </c>
      <c r="S1" s="175" t="s">
        <v>355</v>
      </c>
      <c r="T1" s="175" t="s">
        <v>356</v>
      </c>
      <c r="U1" s="175" t="s">
        <v>357</v>
      </c>
    </row>
    <row r="2" spans="1:21" ht="11.25" customHeight="1" x14ac:dyDescent="0.3">
      <c r="A2" s="30"/>
      <c r="Q2" s="175"/>
      <c r="R2" s="176" t="s">
        <v>358</v>
      </c>
      <c r="S2" s="175" t="s">
        <v>359</v>
      </c>
      <c r="T2" s="175" t="s">
        <v>360</v>
      </c>
      <c r="U2" s="175" t="s">
        <v>355</v>
      </c>
    </row>
    <row r="3" spans="1:21" ht="11.25" customHeight="1" x14ac:dyDescent="0.3">
      <c r="A3" s="877" t="str">
        <f>+'Informações Iniciais'!A1</f>
        <v>ESTADO DO MARANHÃO - PREFEITURA MUNICIPAL DE DAVINOPOLIS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Q3" s="175"/>
      <c r="R3" s="176" t="s">
        <v>361</v>
      </c>
      <c r="S3" s="175" t="s">
        <v>362</v>
      </c>
      <c r="T3" s="175" t="s">
        <v>363</v>
      </c>
      <c r="U3" s="175" t="s">
        <v>359</v>
      </c>
    </row>
    <row r="4" spans="1:21" ht="11.25" customHeight="1" x14ac:dyDescent="0.3">
      <c r="A4" s="878" t="s">
        <v>1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  <c r="Q4" s="175"/>
      <c r="R4" s="176" t="s">
        <v>364</v>
      </c>
      <c r="S4" s="175" t="s">
        <v>365</v>
      </c>
      <c r="T4" s="175" t="s">
        <v>366</v>
      </c>
      <c r="U4" s="175" t="s">
        <v>362</v>
      </c>
    </row>
    <row r="5" spans="1:21" ht="11.25" customHeight="1" x14ac:dyDescent="0.3">
      <c r="A5" s="879" t="s">
        <v>367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Q5" s="175"/>
      <c r="R5" s="176" t="s">
        <v>368</v>
      </c>
      <c r="S5" s="175" t="s">
        <v>369</v>
      </c>
      <c r="T5" s="175" t="s">
        <v>370</v>
      </c>
      <c r="U5" s="175" t="s">
        <v>365</v>
      </c>
    </row>
    <row r="6" spans="1:21" ht="11.25" customHeight="1" x14ac:dyDescent="0.3">
      <c r="A6" s="880" t="s">
        <v>29</v>
      </c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Q6" s="175"/>
      <c r="R6" s="176" t="s">
        <v>371</v>
      </c>
      <c r="S6" s="175" t="s">
        <v>357</v>
      </c>
      <c r="T6" s="175" t="s">
        <v>372</v>
      </c>
      <c r="U6" s="175" t="s">
        <v>369</v>
      </c>
    </row>
    <row r="7" spans="1:21" ht="11.25" customHeight="1" x14ac:dyDescent="0.3">
      <c r="A7" s="877" t="str">
        <f>+'Informações Iniciais'!A5</f>
        <v>5º Bimestre de 2018</v>
      </c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</row>
    <row r="8" spans="1:21" ht="11.25" customHeight="1" x14ac:dyDescent="0.3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21" ht="11.25" customHeight="1" x14ac:dyDescent="0.3">
      <c r="A9" s="146" t="s">
        <v>373</v>
      </c>
      <c r="H9" s="178"/>
      <c r="O9" s="148" t="s">
        <v>31</v>
      </c>
    </row>
    <row r="10" spans="1:21" ht="15" customHeight="1" x14ac:dyDescent="0.3">
      <c r="A10" s="925" t="s">
        <v>374</v>
      </c>
      <c r="B10" s="926" t="s">
        <v>375</v>
      </c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7" t="s">
        <v>376</v>
      </c>
      <c r="O10" s="928" t="s">
        <v>34</v>
      </c>
    </row>
    <row r="11" spans="1:21" ht="15" customHeight="1" x14ac:dyDescent="0.3">
      <c r="A11" s="925"/>
      <c r="B11" s="926"/>
      <c r="C11" s="926"/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7"/>
      <c r="O11" s="928"/>
    </row>
    <row r="12" spans="1:21" ht="15" customHeight="1" x14ac:dyDescent="0.3">
      <c r="A12" s="925"/>
      <c r="B12" s="179" t="str">
        <f>IF(C12=$S1,$T1,IF(C12=$S2,$T2,IF(C12=$S3,$T3,IF(C12=$S4,$T4,IF(C12=$S5,$T5,IF(C12=$S6,$T6,"&lt;MR-1&gt;"))))))</f>
        <v>&lt;MR-1&gt;</v>
      </c>
      <c r="C12" s="179" t="str">
        <f>IF(D12=$T1,$U1,IF(D12=$T2,$U2,IF(D12=$T3,$U3,IF(D12=$T4,$U4,IF(D12=$T5,$U5,IF(D12=$T6,$U6,"&lt;MR-2&gt;"))))))</f>
        <v>&lt;MR-2&gt;</v>
      </c>
      <c r="D12" s="179" t="str">
        <f>IF(E12=$S1,$T1,IF(E12=$S2,$T2,IF(E12=$S3,$T3,IF(E12=$S4,$T4,IF(E12=$S5,$T5,IF(E12=$S6,$T6,"&lt;MR-1&gt;"))))))</f>
        <v>&lt;MR-1&gt;</v>
      </c>
      <c r="E12" s="179" t="str">
        <f>IF(F12=$T1,$U1,IF(F12=$T2,$U2,IF(F12=$T3,$U3,IF(F12=$T4,$U4,IF(F12=$T5,$U5,IF(F12=$T6,$U6,"&lt;MR-2&gt;"))))))</f>
        <v>&lt;MR-2&gt;</v>
      </c>
      <c r="F12" s="179" t="str">
        <f>IF(G12=$S1,$T1,IF(G12=$S2,$T2,IF(G12=$S3,$T3,IF(G12=$S4,$T4,IF(G12=$S5,$T5,IF(G12=$S6,$T6,"&lt;MR-1&gt;"))))))</f>
        <v>&lt;MR-1&gt;</v>
      </c>
      <c r="G12" s="179" t="str">
        <f>IF(H12=$T1,$U1,IF(H12=$T2,$U2,IF(H12=$T3,$U3,IF(H12=$T4,$U4,IF(H12=$T5,$U5,IF(H12=$T6,$U6,"&lt;MR-2&gt;"))))))</f>
        <v>&lt;MR-2&gt;</v>
      </c>
      <c r="H12" s="179" t="str">
        <f>IF(I12=$S1,$T1,IF(I12=$S2,$T2,IF(I12=$S3,$T3,IF(I12=$S4,$T4,IF(I12=$S5,$T5,IF(I12=$S6,$T6,"&lt;MR-1&gt;"))))))</f>
        <v>&lt;MR-1&gt;</v>
      </c>
      <c r="I12" s="179" t="str">
        <f>IF(J12=$T1,$U1,IF(J12=$T2,$U2,IF(J12=$T3,$U3,IF(J12=$T4,$U4,IF(J12=$T5,$U5,IF(J12=$T6,$U6,"&lt;MR-2&gt;"))))))</f>
        <v>&lt;MR-2&gt;</v>
      </c>
      <c r="J12" s="179" t="str">
        <f>IF(K12=$S1,$T1,IF(K12=$S2,$T2,IF(K12=$S3,$T3,IF(K12=$S4,$T4,IF(K12=$S5,$T5,IF(K12=$S6,$T6,"&lt;MR-1&gt;"))))))</f>
        <v>&lt;MR-1&gt;</v>
      </c>
      <c r="K12" s="179" t="str">
        <f>IF(L12=$T1,$U1,IF(L12=$T2,$U2,IF(L12=$T3,$U3,IF(L12=$T4,$U4,IF(L12=$T5,$U5,IF(L12=$T6,$U6,"&lt;MR-2&gt;"))))))</f>
        <v>&lt;MR-2&gt;</v>
      </c>
      <c r="L12" s="179" t="str">
        <f>IF(M12=$S1,$T1,IF(M12=$S2,$T2,IF(M12=$S3,$T3,IF(M12=$S4,$T4,IF(M12=$S5,$T5,IF(M12=$S6,$T6,"&lt;MR-1&gt;"))))))</f>
        <v>&lt;MR-1&gt;</v>
      </c>
      <c r="M12" s="179" t="str">
        <f>IF(A7=R1,S1,IF(A7=R2,S2,IF(A7=R3,S3,IF(A7=R4,S4,IF(A7=R5,S5,IF(A7=R6,S6,"MR"))))))</f>
        <v>MR</v>
      </c>
      <c r="N12" s="927"/>
      <c r="O12" s="154" t="str">
        <f>RIGHT(R1,4)</f>
        <v>2017</v>
      </c>
    </row>
    <row r="13" spans="1:21" s="145" customFormat="1" ht="12.75" customHeight="1" x14ac:dyDescent="0.3">
      <c r="A13" s="180" t="s">
        <v>377</v>
      </c>
      <c r="B13" s="181">
        <f t="shared" ref="B13:M13" si="0">+B14+B20+B21+B24+B25+B26+B27+B36</f>
        <v>1753418.53</v>
      </c>
      <c r="C13" s="181">
        <f t="shared" si="0"/>
        <v>3405011.36</v>
      </c>
      <c r="D13" s="181">
        <f t="shared" si="0"/>
        <v>2223105.2600000002</v>
      </c>
      <c r="E13" s="181">
        <f t="shared" si="0"/>
        <v>4142399.7300000004</v>
      </c>
      <c r="F13" s="181">
        <f t="shared" si="0"/>
        <v>2502820.0099999998</v>
      </c>
      <c r="G13" s="181">
        <f t="shared" si="0"/>
        <v>2338688.6800000002</v>
      </c>
      <c r="H13" s="181">
        <f t="shared" si="0"/>
        <v>3093877.1500000004</v>
      </c>
      <c r="I13" s="181">
        <f t="shared" si="0"/>
        <v>3196115.52</v>
      </c>
      <c r="J13" s="181">
        <f t="shared" si="0"/>
        <v>3289288.2</v>
      </c>
      <c r="K13" s="181">
        <f t="shared" si="0"/>
        <v>2780514.6999999997</v>
      </c>
      <c r="L13" s="181">
        <f t="shared" si="0"/>
        <v>0</v>
      </c>
      <c r="M13" s="181">
        <f t="shared" si="0"/>
        <v>0</v>
      </c>
      <c r="N13" s="181">
        <f t="shared" ref="N13:N41" si="1">SUM(B13:M13)</f>
        <v>28725239.139999997</v>
      </c>
      <c r="O13" s="181">
        <f>+O14+O20+O21+O24+O25+O26+O27+O36</f>
        <v>0</v>
      </c>
    </row>
    <row r="14" spans="1:21" ht="12.75" customHeight="1" x14ac:dyDescent="0.3">
      <c r="A14" s="49" t="s">
        <v>378</v>
      </c>
      <c r="B14" s="95">
        <f t="shared" ref="B14:M14" si="2">SUM(B15:B19)</f>
        <v>59976.59</v>
      </c>
      <c r="C14" s="95">
        <f t="shared" si="2"/>
        <v>33882.160000000003</v>
      </c>
      <c r="D14" s="95">
        <f t="shared" si="2"/>
        <v>103925.81999999999</v>
      </c>
      <c r="E14" s="95">
        <f t="shared" si="2"/>
        <v>75127</v>
      </c>
      <c r="F14" s="95">
        <f t="shared" si="2"/>
        <v>48490.239999999998</v>
      </c>
      <c r="G14" s="95">
        <f t="shared" si="2"/>
        <v>48674.78</v>
      </c>
      <c r="H14" s="95">
        <f t="shared" si="2"/>
        <v>36941.339999999997</v>
      </c>
      <c r="I14" s="95">
        <f t="shared" si="2"/>
        <v>43625.55</v>
      </c>
      <c r="J14" s="95">
        <f t="shared" si="2"/>
        <v>36701.71</v>
      </c>
      <c r="K14" s="95">
        <f t="shared" si="2"/>
        <v>28995.07</v>
      </c>
      <c r="L14" s="95">
        <f t="shared" si="2"/>
        <v>0</v>
      </c>
      <c r="M14" s="95">
        <f t="shared" si="2"/>
        <v>0</v>
      </c>
      <c r="N14" s="95">
        <f t="shared" si="1"/>
        <v>516340.25999999995</v>
      </c>
      <c r="O14" s="95">
        <f>SUM(O15:O19)</f>
        <v>0</v>
      </c>
    </row>
    <row r="15" spans="1:21" ht="12.75" customHeight="1" x14ac:dyDescent="0.3">
      <c r="A15" s="46" t="s">
        <v>379</v>
      </c>
      <c r="B15" s="182"/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/>
      <c r="N15" s="161">
        <f t="shared" si="1"/>
        <v>0</v>
      </c>
      <c r="O15" s="182">
        <v>0</v>
      </c>
    </row>
    <row r="16" spans="1:21" ht="12.75" customHeight="1" x14ac:dyDescent="0.3">
      <c r="A16" s="46" t="s">
        <v>380</v>
      </c>
      <c r="B16" s="862">
        <v>26108.39</v>
      </c>
      <c r="C16" s="862">
        <v>6780.71</v>
      </c>
      <c r="D16" s="862">
        <v>76601.59</v>
      </c>
      <c r="E16" s="862">
        <v>53180.29</v>
      </c>
      <c r="F16" s="862">
        <v>24884.51</v>
      </c>
      <c r="G16" s="862">
        <v>21256.04</v>
      </c>
      <c r="H16" s="862">
        <v>15240.91</v>
      </c>
      <c r="I16" s="862">
        <v>18586.009999999998</v>
      </c>
      <c r="J16" s="862">
        <v>23992.63</v>
      </c>
      <c r="K16" s="862">
        <v>17444.98</v>
      </c>
      <c r="L16" s="182"/>
      <c r="M16" s="182"/>
      <c r="N16" s="161">
        <f t="shared" si="1"/>
        <v>284076.06</v>
      </c>
      <c r="O16" s="182"/>
    </row>
    <row r="17" spans="1:15" ht="12.75" customHeight="1" x14ac:dyDescent="0.3">
      <c r="A17" s="46" t="s">
        <v>381</v>
      </c>
      <c r="B17" s="862">
        <v>0</v>
      </c>
      <c r="C17" s="862">
        <v>0</v>
      </c>
      <c r="D17" s="862">
        <v>0</v>
      </c>
      <c r="E17" s="862">
        <v>0</v>
      </c>
      <c r="F17" s="862">
        <v>0</v>
      </c>
      <c r="G17" s="862">
        <v>0</v>
      </c>
      <c r="H17" s="862">
        <v>0</v>
      </c>
      <c r="I17" s="862">
        <v>0</v>
      </c>
      <c r="J17" s="862"/>
      <c r="K17" s="862"/>
      <c r="L17" s="182"/>
      <c r="M17" s="182"/>
      <c r="N17" s="161">
        <f t="shared" si="1"/>
        <v>0</v>
      </c>
      <c r="O17" s="182"/>
    </row>
    <row r="18" spans="1:15" ht="12.75" customHeight="1" x14ac:dyDescent="0.3">
      <c r="A18" s="46" t="s">
        <v>382</v>
      </c>
      <c r="B18" s="862">
        <v>3435.31</v>
      </c>
      <c r="C18" s="862">
        <v>2361.1799999999998</v>
      </c>
      <c r="D18" s="862">
        <v>0</v>
      </c>
      <c r="E18" s="862">
        <v>0</v>
      </c>
      <c r="F18" s="862">
        <v>0</v>
      </c>
      <c r="G18" s="862">
        <v>0</v>
      </c>
      <c r="H18" s="862">
        <v>0</v>
      </c>
      <c r="I18" s="862">
        <v>0</v>
      </c>
      <c r="J18" s="862"/>
      <c r="K18" s="862"/>
      <c r="L18" s="182"/>
      <c r="M18" s="182"/>
      <c r="N18" s="161">
        <f t="shared" si="1"/>
        <v>5796.49</v>
      </c>
      <c r="O18" s="182"/>
    </row>
    <row r="19" spans="1:15" ht="12.75" customHeight="1" x14ac:dyDescent="0.3">
      <c r="A19" s="46" t="s">
        <v>383</v>
      </c>
      <c r="B19" s="862">
        <v>30432.89</v>
      </c>
      <c r="C19" s="862">
        <v>24740.27</v>
      </c>
      <c r="D19" s="862">
        <v>27324.23</v>
      </c>
      <c r="E19" s="862">
        <v>21946.71</v>
      </c>
      <c r="F19" s="862">
        <v>23605.73</v>
      </c>
      <c r="G19" s="862">
        <v>27418.74</v>
      </c>
      <c r="H19" s="862">
        <v>21700.43</v>
      </c>
      <c r="I19" s="862">
        <v>25039.54</v>
      </c>
      <c r="J19" s="862">
        <v>12709.08</v>
      </c>
      <c r="K19" s="862">
        <v>11550.09</v>
      </c>
      <c r="L19" s="182"/>
      <c r="M19" s="182"/>
      <c r="N19" s="161">
        <f t="shared" si="1"/>
        <v>226467.71</v>
      </c>
      <c r="O19" s="182"/>
    </row>
    <row r="20" spans="1:15" ht="12.75" customHeight="1" x14ac:dyDescent="0.3">
      <c r="A20" s="46" t="s">
        <v>384</v>
      </c>
      <c r="B20" s="182">
        <v>0</v>
      </c>
      <c r="C20" s="182">
        <v>0</v>
      </c>
      <c r="D20" s="862">
        <v>0</v>
      </c>
      <c r="E20" s="862">
        <v>0</v>
      </c>
      <c r="F20" s="862">
        <v>0</v>
      </c>
      <c r="G20" s="862">
        <v>0</v>
      </c>
      <c r="H20" s="862">
        <v>0</v>
      </c>
      <c r="I20" s="862">
        <v>0</v>
      </c>
      <c r="J20" s="862"/>
      <c r="K20" s="862"/>
      <c r="L20" s="182"/>
      <c r="M20" s="182"/>
      <c r="N20" s="161">
        <f t="shared" si="1"/>
        <v>0</v>
      </c>
      <c r="O20" s="182"/>
    </row>
    <row r="21" spans="1:15" ht="12.75" customHeight="1" x14ac:dyDescent="0.3">
      <c r="A21" s="46" t="s">
        <v>385</v>
      </c>
      <c r="B21" s="183">
        <f t="shared" ref="B21:M21" si="3">B22+B23</f>
        <v>3396.92</v>
      </c>
      <c r="C21" s="183">
        <f t="shared" si="3"/>
        <v>1304.5899999999999</v>
      </c>
      <c r="D21" s="183">
        <f t="shared" si="3"/>
        <v>2511.3000000000002</v>
      </c>
      <c r="E21" s="183">
        <f t="shared" si="3"/>
        <v>3271.29</v>
      </c>
      <c r="F21" s="183">
        <f t="shared" si="3"/>
        <v>4600.66</v>
      </c>
      <c r="G21" s="183">
        <f t="shared" si="3"/>
        <v>3765.58</v>
      </c>
      <c r="H21" s="183">
        <f t="shared" si="3"/>
        <v>3820.32</v>
      </c>
      <c r="I21" s="183">
        <f t="shared" si="3"/>
        <v>3670.05</v>
      </c>
      <c r="J21" s="183">
        <f t="shared" si="3"/>
        <v>5533.64</v>
      </c>
      <c r="K21" s="183">
        <f t="shared" si="3"/>
        <v>3397.5</v>
      </c>
      <c r="L21" s="183">
        <f t="shared" si="3"/>
        <v>0</v>
      </c>
      <c r="M21" s="183">
        <f t="shared" si="3"/>
        <v>0</v>
      </c>
      <c r="N21" s="161">
        <f t="shared" si="1"/>
        <v>35271.85</v>
      </c>
      <c r="O21" s="183">
        <f>O22+O23</f>
        <v>0</v>
      </c>
    </row>
    <row r="22" spans="1:15" ht="12.75" customHeight="1" x14ac:dyDescent="0.3">
      <c r="A22" s="46" t="s">
        <v>386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61">
        <f t="shared" si="1"/>
        <v>0</v>
      </c>
      <c r="O22" s="182"/>
    </row>
    <row r="23" spans="1:15" ht="12.75" customHeight="1" x14ac:dyDescent="0.3">
      <c r="A23" s="46" t="s">
        <v>387</v>
      </c>
      <c r="B23" s="862">
        <v>3396.92</v>
      </c>
      <c r="C23" s="862">
        <v>1304.5899999999999</v>
      </c>
      <c r="D23" s="862">
        <v>2511.3000000000002</v>
      </c>
      <c r="E23" s="862">
        <v>3271.29</v>
      </c>
      <c r="F23" s="862">
        <v>4600.66</v>
      </c>
      <c r="G23" s="862">
        <v>3765.58</v>
      </c>
      <c r="H23" s="862">
        <v>3820.32</v>
      </c>
      <c r="I23" s="862">
        <v>3670.05</v>
      </c>
      <c r="J23" s="862">
        <v>5533.64</v>
      </c>
      <c r="K23" s="862">
        <v>3397.5</v>
      </c>
      <c r="L23" s="182">
        <v>0</v>
      </c>
      <c r="M23" s="182"/>
      <c r="N23" s="161">
        <f t="shared" si="1"/>
        <v>35271.85</v>
      </c>
      <c r="O23" s="182"/>
    </row>
    <row r="24" spans="1:15" ht="12.75" customHeight="1" x14ac:dyDescent="0.3">
      <c r="A24" s="46" t="s">
        <v>388</v>
      </c>
      <c r="B24" s="182">
        <v>0</v>
      </c>
      <c r="C24" s="182">
        <v>0</v>
      </c>
      <c r="D24" s="182">
        <v>0</v>
      </c>
      <c r="E24" s="182">
        <v>0</v>
      </c>
      <c r="F24" s="182">
        <v>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/>
      <c r="M24" s="182"/>
      <c r="N24" s="161">
        <f t="shared" si="1"/>
        <v>0</v>
      </c>
      <c r="O24" s="182"/>
    </row>
    <row r="25" spans="1:15" ht="12.75" customHeight="1" x14ac:dyDescent="0.3">
      <c r="A25" s="46" t="s">
        <v>389</v>
      </c>
      <c r="B25" s="182">
        <v>0</v>
      </c>
      <c r="C25" s="182">
        <v>0</v>
      </c>
      <c r="D25" s="182">
        <v>0</v>
      </c>
      <c r="E25" s="182">
        <v>0</v>
      </c>
      <c r="F25" s="182">
        <v>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/>
      <c r="M25" s="182"/>
      <c r="N25" s="161">
        <f t="shared" si="1"/>
        <v>0</v>
      </c>
      <c r="O25" s="182"/>
    </row>
    <row r="26" spans="1:15" ht="12.75" customHeight="1" x14ac:dyDescent="0.3">
      <c r="A26" s="46" t="s">
        <v>390</v>
      </c>
      <c r="B26" s="182">
        <v>0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/>
      <c r="M26" s="182"/>
      <c r="N26" s="161">
        <f t="shared" si="1"/>
        <v>0</v>
      </c>
      <c r="O26" s="182"/>
    </row>
    <row r="27" spans="1:15" ht="12.75" customHeight="1" x14ac:dyDescent="0.3">
      <c r="A27" s="46" t="s">
        <v>391</v>
      </c>
      <c r="B27" s="95">
        <f t="shared" ref="B27:M27" si="4">SUM(B28:B35)</f>
        <v>1690045.02</v>
      </c>
      <c r="C27" s="95">
        <f t="shared" si="4"/>
        <v>3369824.61</v>
      </c>
      <c r="D27" s="95">
        <f t="shared" si="4"/>
        <v>2116668.14</v>
      </c>
      <c r="E27" s="95">
        <f t="shared" si="4"/>
        <v>4064001.4400000004</v>
      </c>
      <c r="F27" s="95">
        <f t="shared" si="4"/>
        <v>2449729.11</v>
      </c>
      <c r="G27" s="95">
        <f t="shared" si="4"/>
        <v>2286248.3200000003</v>
      </c>
      <c r="H27" s="95">
        <f t="shared" si="4"/>
        <v>3053115.49</v>
      </c>
      <c r="I27" s="95">
        <f t="shared" si="4"/>
        <v>3148819.92</v>
      </c>
      <c r="J27" s="95">
        <f t="shared" si="4"/>
        <v>3247052.85</v>
      </c>
      <c r="K27" s="95">
        <f t="shared" si="4"/>
        <v>2748122.13</v>
      </c>
      <c r="L27" s="95">
        <f t="shared" si="4"/>
        <v>0</v>
      </c>
      <c r="M27" s="95">
        <f t="shared" si="4"/>
        <v>0</v>
      </c>
      <c r="N27" s="95">
        <f t="shared" si="1"/>
        <v>28173627.030000005</v>
      </c>
      <c r="O27" s="95">
        <f>SUM(O28:O35)</f>
        <v>0</v>
      </c>
    </row>
    <row r="28" spans="1:15" ht="12.75" customHeight="1" x14ac:dyDescent="0.3">
      <c r="A28" s="46" t="s">
        <v>392</v>
      </c>
      <c r="B28" s="182"/>
      <c r="C28" s="182"/>
      <c r="D28" s="862">
        <v>800099.17</v>
      </c>
      <c r="E28" s="862">
        <v>1045979.86</v>
      </c>
      <c r="F28" s="862">
        <v>704353.36</v>
      </c>
      <c r="G28" s="862">
        <v>738491.55</v>
      </c>
      <c r="H28" s="862">
        <v>906308.57</v>
      </c>
      <c r="I28" s="862">
        <v>848714.87</v>
      </c>
      <c r="J28" s="862">
        <v>576425.53</v>
      </c>
      <c r="K28" s="862">
        <v>727194.76</v>
      </c>
      <c r="L28" s="182"/>
      <c r="M28" s="182"/>
      <c r="N28" s="161">
        <f t="shared" si="1"/>
        <v>6347567.6700000009</v>
      </c>
      <c r="O28" s="182"/>
    </row>
    <row r="29" spans="1:15" ht="12.75" customHeight="1" x14ac:dyDescent="0.3">
      <c r="A29" s="46" t="s">
        <v>393</v>
      </c>
      <c r="B29" s="182"/>
      <c r="C29" s="182"/>
      <c r="D29" s="862">
        <v>616758.81000000006</v>
      </c>
      <c r="E29" s="862">
        <v>125106.22</v>
      </c>
      <c r="F29" s="862">
        <v>481196.62</v>
      </c>
      <c r="G29" s="862">
        <v>468907.33</v>
      </c>
      <c r="H29" s="862">
        <v>470186.07</v>
      </c>
      <c r="I29" s="862">
        <v>570506.93000000005</v>
      </c>
      <c r="J29" s="862">
        <v>552546.55000000005</v>
      </c>
      <c r="K29" s="862">
        <v>592231.22</v>
      </c>
      <c r="L29" s="182"/>
      <c r="M29" s="182"/>
      <c r="N29" s="161">
        <f t="shared" si="1"/>
        <v>3877439.75</v>
      </c>
      <c r="O29" s="182"/>
    </row>
    <row r="30" spans="1:15" ht="12.75" customHeight="1" x14ac:dyDescent="0.3">
      <c r="A30" s="46" t="s">
        <v>394</v>
      </c>
      <c r="B30" s="182"/>
      <c r="C30" s="182"/>
      <c r="D30" s="862">
        <v>9876.4</v>
      </c>
      <c r="E30" s="862">
        <v>34566.07</v>
      </c>
      <c r="F30" s="862">
        <v>44701.15</v>
      </c>
      <c r="G30" s="862">
        <v>26398.55</v>
      </c>
      <c r="H30" s="862">
        <v>28904.87</v>
      </c>
      <c r="I30" s="862">
        <v>11595.97</v>
      </c>
      <c r="J30" s="862">
        <v>5272.42</v>
      </c>
      <c r="K30" s="862">
        <v>9723.02</v>
      </c>
      <c r="L30" s="182"/>
      <c r="M30" s="182"/>
      <c r="N30" s="161">
        <f t="shared" si="1"/>
        <v>171038.45</v>
      </c>
      <c r="O30" s="182"/>
    </row>
    <row r="31" spans="1:15" ht="12.75" customHeight="1" x14ac:dyDescent="0.3">
      <c r="A31" s="46" t="s">
        <v>395</v>
      </c>
      <c r="B31" s="182"/>
      <c r="C31" s="182"/>
      <c r="D31" s="862">
        <v>42.69</v>
      </c>
      <c r="E31" s="862">
        <v>113.78</v>
      </c>
      <c r="F31" s="862"/>
      <c r="G31" s="862">
        <v>48.46</v>
      </c>
      <c r="H31" s="862"/>
      <c r="I31" s="862"/>
      <c r="J31" s="862">
        <v>125.71</v>
      </c>
      <c r="K31" s="862">
        <v>392.29</v>
      </c>
      <c r="L31" s="182"/>
      <c r="M31" s="182"/>
      <c r="N31" s="161">
        <f t="shared" si="1"/>
        <v>722.93000000000006</v>
      </c>
      <c r="O31" s="182"/>
    </row>
    <row r="32" spans="1:15" ht="12.75" customHeight="1" x14ac:dyDescent="0.3">
      <c r="A32" s="46" t="s">
        <v>396</v>
      </c>
      <c r="B32" s="182"/>
      <c r="C32" s="182"/>
      <c r="D32" s="862">
        <v>3165.33</v>
      </c>
      <c r="E32" s="862">
        <v>3165.33</v>
      </c>
      <c r="F32" s="862">
        <v>3165.33</v>
      </c>
      <c r="G32" s="862">
        <v>3165.33</v>
      </c>
      <c r="H32" s="862">
        <v>3165.33</v>
      </c>
      <c r="I32" s="862">
        <v>3165.33</v>
      </c>
      <c r="J32" s="862">
        <v>3165.33</v>
      </c>
      <c r="K32" s="862">
        <v>3165.33</v>
      </c>
      <c r="L32" s="182"/>
      <c r="M32" s="182"/>
      <c r="N32" s="161">
        <f t="shared" si="1"/>
        <v>25322.639999999999</v>
      </c>
      <c r="O32" s="182"/>
    </row>
    <row r="33" spans="1:15" ht="12.75" customHeight="1" x14ac:dyDescent="0.3">
      <c r="A33" s="46" t="s">
        <v>397</v>
      </c>
      <c r="B33" s="182"/>
      <c r="C33" s="182"/>
      <c r="D33" s="862"/>
      <c r="E33" s="862"/>
      <c r="F33" s="862"/>
      <c r="G33" s="862"/>
      <c r="H33" s="862"/>
      <c r="I33" s="862"/>
      <c r="J33" s="862"/>
      <c r="K33" s="862"/>
      <c r="L33" s="182"/>
      <c r="M33" s="182"/>
      <c r="N33" s="161">
        <f t="shared" si="1"/>
        <v>0</v>
      </c>
      <c r="O33" s="182"/>
    </row>
    <row r="34" spans="1:15" ht="12.75" customHeight="1" x14ac:dyDescent="0.3">
      <c r="A34" s="46" t="s">
        <v>398</v>
      </c>
      <c r="B34" s="182"/>
      <c r="C34" s="182"/>
      <c r="D34" s="862">
        <v>497101.37</v>
      </c>
      <c r="E34" s="862">
        <v>619505.14</v>
      </c>
      <c r="F34" s="862">
        <v>854209.59</v>
      </c>
      <c r="G34" s="862">
        <v>464096.5</v>
      </c>
      <c r="H34" s="862">
        <v>530114.72</v>
      </c>
      <c r="I34" s="862">
        <v>539993.37</v>
      </c>
      <c r="J34" s="862">
        <v>419297.08</v>
      </c>
      <c r="K34" s="862">
        <v>496053.43</v>
      </c>
      <c r="L34" s="182"/>
      <c r="M34" s="182"/>
      <c r="N34" s="161">
        <f t="shared" si="1"/>
        <v>4420371.2</v>
      </c>
      <c r="O34" s="182"/>
    </row>
    <row r="35" spans="1:15" ht="12.75" customHeight="1" x14ac:dyDescent="0.3">
      <c r="A35" s="46" t="s">
        <v>399</v>
      </c>
      <c r="B35" s="862">
        <v>1690045.02</v>
      </c>
      <c r="C35" s="862">
        <v>3369824.61</v>
      </c>
      <c r="D35" s="862">
        <v>189624.37</v>
      </c>
      <c r="E35" s="862">
        <v>2235565.04</v>
      </c>
      <c r="F35" s="862">
        <v>362103.06</v>
      </c>
      <c r="G35" s="862">
        <v>585140.6</v>
      </c>
      <c r="H35" s="862">
        <v>1114435.93</v>
      </c>
      <c r="I35" s="862">
        <v>1174843.45</v>
      </c>
      <c r="J35" s="862">
        <v>1690220.23</v>
      </c>
      <c r="K35" s="862">
        <v>919362.08</v>
      </c>
      <c r="L35" s="182"/>
      <c r="M35" s="182"/>
      <c r="N35" s="161">
        <f t="shared" si="1"/>
        <v>13331164.389999999</v>
      </c>
      <c r="O35" s="182"/>
    </row>
    <row r="36" spans="1:15" ht="12.75" customHeight="1" x14ac:dyDescent="0.3">
      <c r="A36" s="49" t="s">
        <v>400</v>
      </c>
      <c r="B36" s="182"/>
      <c r="C36" s="182"/>
      <c r="D36" s="862"/>
      <c r="E36" s="862"/>
      <c r="F36" s="862"/>
      <c r="G36" s="862"/>
      <c r="H36" s="862"/>
      <c r="I36" s="862"/>
      <c r="J36" s="862"/>
      <c r="K36" s="862"/>
      <c r="L36" s="182"/>
      <c r="M36" s="182"/>
      <c r="N36" s="161">
        <f t="shared" si="1"/>
        <v>0</v>
      </c>
      <c r="O36" s="182"/>
    </row>
    <row r="37" spans="1:15" ht="12.75" customHeight="1" x14ac:dyDescent="0.3">
      <c r="A37" s="184" t="s">
        <v>401</v>
      </c>
      <c r="B37" s="171">
        <f t="shared" ref="B37:M37" si="5">SUM(B38:B40)</f>
        <v>197940.93</v>
      </c>
      <c r="C37" s="171">
        <f t="shared" si="5"/>
        <v>243176.09</v>
      </c>
      <c r="D37" s="171">
        <f t="shared" si="5"/>
        <v>284013.15999999997</v>
      </c>
      <c r="E37" s="171">
        <f t="shared" si="5"/>
        <v>234872.99</v>
      </c>
      <c r="F37" s="171">
        <f t="shared" si="5"/>
        <v>158710.89000000001</v>
      </c>
      <c r="G37" s="171">
        <f t="shared" si="5"/>
        <v>158783.22</v>
      </c>
      <c r="H37" s="171">
        <f t="shared" si="5"/>
        <v>189701.14</v>
      </c>
      <c r="I37" s="171">
        <f t="shared" si="5"/>
        <v>185408.07</v>
      </c>
      <c r="J37" s="171">
        <f t="shared" si="5"/>
        <v>137839.66</v>
      </c>
      <c r="K37" s="171">
        <f t="shared" si="5"/>
        <v>165238.04999999999</v>
      </c>
      <c r="L37" s="171">
        <f t="shared" si="5"/>
        <v>0</v>
      </c>
      <c r="M37" s="171">
        <f t="shared" si="5"/>
        <v>0</v>
      </c>
      <c r="N37" s="171">
        <f t="shared" si="1"/>
        <v>1955684.2</v>
      </c>
      <c r="O37" s="171">
        <f>SUM(O38:O40)</f>
        <v>0</v>
      </c>
    </row>
    <row r="38" spans="1:15" ht="12.75" customHeight="1" x14ac:dyDescent="0.3">
      <c r="A38" s="46" t="s">
        <v>402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61">
        <f t="shared" si="1"/>
        <v>0</v>
      </c>
      <c r="O38" s="182"/>
    </row>
    <row r="39" spans="1:15" ht="12.75" customHeight="1" x14ac:dyDescent="0.3">
      <c r="A39" s="46" t="s">
        <v>403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61">
        <f t="shared" si="1"/>
        <v>0</v>
      </c>
      <c r="O39" s="182"/>
    </row>
    <row r="40" spans="1:15" ht="12.75" customHeight="1" x14ac:dyDescent="0.3">
      <c r="A40" s="46" t="s">
        <v>404</v>
      </c>
      <c r="B40" s="862">
        <v>197940.93</v>
      </c>
      <c r="C40" s="862">
        <v>243176.09</v>
      </c>
      <c r="D40" s="862">
        <v>284013.15999999997</v>
      </c>
      <c r="E40" s="862">
        <v>234872.99</v>
      </c>
      <c r="F40" s="862">
        <v>158710.89000000001</v>
      </c>
      <c r="G40" s="862">
        <v>158783.22</v>
      </c>
      <c r="H40" s="862">
        <v>189701.14</v>
      </c>
      <c r="I40" s="862">
        <v>185408.07</v>
      </c>
      <c r="J40" s="862">
        <v>137839.66</v>
      </c>
      <c r="K40" s="862">
        <v>165238.04999999999</v>
      </c>
      <c r="L40" s="182"/>
      <c r="M40" s="182"/>
      <c r="N40" s="161">
        <f t="shared" si="1"/>
        <v>1955684.2</v>
      </c>
      <c r="O40" s="182"/>
    </row>
    <row r="41" spans="1:15" ht="12.75" customHeight="1" x14ac:dyDescent="0.3">
      <c r="A41" s="185" t="s">
        <v>405</v>
      </c>
      <c r="B41" s="186">
        <f t="shared" ref="B41:M41" si="6">+B13-B37</f>
        <v>1555477.6</v>
      </c>
      <c r="C41" s="186">
        <f t="shared" si="6"/>
        <v>3161835.27</v>
      </c>
      <c r="D41" s="186">
        <f t="shared" si="6"/>
        <v>1939092.1000000003</v>
      </c>
      <c r="E41" s="186">
        <f t="shared" si="6"/>
        <v>3907526.74</v>
      </c>
      <c r="F41" s="186">
        <f t="shared" si="6"/>
        <v>2344109.1199999996</v>
      </c>
      <c r="G41" s="186">
        <f t="shared" si="6"/>
        <v>2179905.46</v>
      </c>
      <c r="H41" s="186">
        <f t="shared" si="6"/>
        <v>2904176.0100000002</v>
      </c>
      <c r="I41" s="186">
        <f t="shared" si="6"/>
        <v>3010707.45</v>
      </c>
      <c r="J41" s="186">
        <f t="shared" si="6"/>
        <v>3151448.54</v>
      </c>
      <c r="K41" s="186">
        <f t="shared" si="6"/>
        <v>2615276.65</v>
      </c>
      <c r="L41" s="186">
        <f t="shared" si="6"/>
        <v>0</v>
      </c>
      <c r="M41" s="186">
        <f t="shared" si="6"/>
        <v>0</v>
      </c>
      <c r="N41" s="186">
        <f t="shared" si="1"/>
        <v>26769554.939999998</v>
      </c>
      <c r="O41" s="186">
        <f>+O13-O37</f>
        <v>0</v>
      </c>
    </row>
    <row r="42" spans="1:15" ht="12.75" customHeight="1" x14ac:dyDescent="0.3">
      <c r="A42" s="912" t="s">
        <v>160</v>
      </c>
      <c r="B42" s="912"/>
      <c r="C42" s="912"/>
      <c r="D42" s="912"/>
      <c r="E42" s="912"/>
      <c r="F42" s="912"/>
      <c r="G42" s="912"/>
      <c r="H42" s="912"/>
      <c r="I42" s="912"/>
      <c r="J42" s="912"/>
      <c r="K42" s="912"/>
      <c r="L42" s="912"/>
      <c r="M42" s="912"/>
      <c r="N42" s="912"/>
      <c r="O42" s="912"/>
    </row>
    <row r="44" spans="1:15" ht="12.75" customHeight="1" x14ac:dyDescent="0.3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140" zoomScaleNormal="140" workbookViewId="0">
      <selection activeCell="B24" sqref="B24"/>
    </sheetView>
  </sheetViews>
  <sheetFormatPr defaultColWidth="3.81640625" defaultRowHeight="11.25" customHeight="1" x14ac:dyDescent="0.3"/>
  <cols>
    <col min="1" max="1" width="69.453125" style="142" customWidth="1"/>
    <col min="2" max="5" width="8" style="142" customWidth="1"/>
    <col min="6" max="6" width="19.81640625" style="142" customWidth="1"/>
    <col min="7" max="7" width="20" style="142" customWidth="1"/>
    <col min="8" max="8" width="20.7265625" style="142" customWidth="1"/>
    <col min="9" max="9" width="21.81640625" style="142" customWidth="1"/>
    <col min="10" max="10" width="18.26953125" style="142" customWidth="1"/>
    <col min="11" max="11" width="18.54296875" style="142" customWidth="1"/>
    <col min="12" max="20" width="3.81640625" style="142" customWidth="1"/>
    <col min="21" max="21" width="23.7265625" style="142" customWidth="1"/>
    <col min="22" max="29" width="3.81640625" style="142" customWidth="1"/>
    <col min="30" max="30" width="12" style="142" customWidth="1"/>
    <col min="31" max="156" width="3.81640625" style="142" customWidth="1"/>
    <col min="157" max="157" width="15.81640625" style="142" customWidth="1"/>
    <col min="158" max="158" width="8.7265625" style="142" customWidth="1"/>
    <col min="159" max="16384" width="3.81640625" style="142"/>
  </cols>
  <sheetData>
    <row r="1" spans="1:159" ht="11.25" customHeight="1" x14ac:dyDescent="0.3">
      <c r="A1" s="30" t="s">
        <v>406</v>
      </c>
    </row>
    <row r="2" spans="1:159" ht="11.25" customHeight="1" x14ac:dyDescent="0.3">
      <c r="A2" s="30"/>
    </row>
    <row r="3" spans="1:159" ht="12.75" customHeight="1" x14ac:dyDescent="0.3">
      <c r="A3" s="877" t="str">
        <f>+'Informações Iniciais'!A1</f>
        <v>ESTADO DO MARANHÃO - PREFEITURA MUNICIPAL DE DAVINOPOLIS</v>
      </c>
      <c r="B3" s="877"/>
      <c r="C3" s="877"/>
      <c r="D3" s="877"/>
      <c r="E3" s="877"/>
      <c r="F3" s="877"/>
    </row>
    <row r="4" spans="1:159" ht="12.75" customHeight="1" x14ac:dyDescent="0.3">
      <c r="A4" s="878" t="s">
        <v>1</v>
      </c>
      <c r="B4" s="878"/>
      <c r="C4" s="878"/>
      <c r="D4" s="878"/>
      <c r="E4" s="878"/>
      <c r="F4" s="878"/>
    </row>
    <row r="5" spans="1:159" ht="12.75" customHeight="1" x14ac:dyDescent="0.3">
      <c r="A5" s="929" t="s">
        <v>407</v>
      </c>
      <c r="B5" s="929"/>
      <c r="C5" s="929"/>
      <c r="D5" s="929"/>
      <c r="E5" s="929"/>
      <c r="F5" s="929"/>
    </row>
    <row r="6" spans="1:159" ht="12.75" customHeight="1" x14ac:dyDescent="0.3">
      <c r="A6" s="878" t="s">
        <v>408</v>
      </c>
      <c r="B6" s="878"/>
      <c r="C6" s="878"/>
      <c r="D6" s="878"/>
      <c r="E6" s="878"/>
      <c r="F6" s="878"/>
    </row>
    <row r="7" spans="1:159" ht="12.75" customHeight="1" x14ac:dyDescent="0.3">
      <c r="A7" s="877" t="str">
        <f>+'Informações Iniciais'!A5</f>
        <v>5º Bimestre de 2018</v>
      </c>
      <c r="B7" s="877"/>
      <c r="C7" s="877"/>
      <c r="D7" s="877"/>
      <c r="E7" s="877"/>
      <c r="F7" s="877"/>
    </row>
    <row r="8" spans="1:159" ht="11.25" customHeight="1" x14ac:dyDescent="0.3">
      <c r="A8" s="144"/>
      <c r="B8" s="144"/>
      <c r="C8" s="144"/>
      <c r="D8" s="144"/>
      <c r="E8" s="144"/>
      <c r="F8" s="144"/>
    </row>
    <row r="9" spans="1:159" ht="12.75" customHeight="1" x14ac:dyDescent="0.3">
      <c r="A9" s="142" t="s">
        <v>409</v>
      </c>
      <c r="E9" s="178"/>
      <c r="J9" s="187"/>
      <c r="K9" s="178" t="s">
        <v>31</v>
      </c>
    </row>
    <row r="10" spans="1:159" ht="12.75" customHeight="1" x14ac:dyDescent="0.3">
      <c r="A10" s="881" t="s">
        <v>410</v>
      </c>
      <c r="B10" s="930" t="s">
        <v>33</v>
      </c>
      <c r="C10" s="930"/>
      <c r="D10" s="930"/>
      <c r="E10" s="930"/>
      <c r="F10" s="931" t="s">
        <v>34</v>
      </c>
      <c r="G10" s="931"/>
      <c r="H10" s="931" t="s">
        <v>35</v>
      </c>
      <c r="I10" s="931"/>
      <c r="J10" s="931"/>
      <c r="K10" s="931"/>
    </row>
    <row r="11" spans="1:159" ht="12.75" customHeight="1" x14ac:dyDescent="0.3">
      <c r="A11" s="881"/>
      <c r="B11" s="930"/>
      <c r="C11" s="930"/>
      <c r="D11" s="930"/>
      <c r="E11" s="930"/>
      <c r="F11" s="931"/>
      <c r="G11" s="931"/>
      <c r="H11" s="923" t="s">
        <v>411</v>
      </c>
      <c r="I11" s="923"/>
      <c r="J11" s="923" t="s">
        <v>411</v>
      </c>
      <c r="K11" s="923"/>
    </row>
    <row r="12" spans="1:159" ht="12.75" customHeight="1" x14ac:dyDescent="0.3">
      <c r="A12" s="881"/>
      <c r="B12" s="930"/>
      <c r="C12" s="930"/>
      <c r="D12" s="930"/>
      <c r="E12" s="930"/>
      <c r="F12" s="931"/>
      <c r="G12" s="931"/>
      <c r="H12" s="932" t="str">
        <f>IF(A7="&lt;SELECIONE O PERÍODO CLICANDO NA SETA AO LADO&gt;","&lt;Exercício&gt;",RIGHT(A7,4))</f>
        <v>2018</v>
      </c>
      <c r="I12" s="932"/>
      <c r="J12" s="933">
        <f>IF(FA12=FALSE,"&lt;Exercício Anterior&gt;",H12-1)</f>
        <v>2017</v>
      </c>
      <c r="K12" s="933"/>
      <c r="FA12" s="190" t="b">
        <f>ISNUMBER(H12*1)</f>
        <v>1</v>
      </c>
      <c r="FB12" s="190">
        <f>H12*1</f>
        <v>2018</v>
      </c>
      <c r="FC12" s="142" t="str">
        <f>H12</f>
        <v>2018</v>
      </c>
    </row>
    <row r="13" spans="1:159" ht="12.75" customHeight="1" x14ac:dyDescent="0.3">
      <c r="A13" s="191" t="s">
        <v>412</v>
      </c>
      <c r="B13" s="934">
        <f>+B14+B23+B33+B37+B38+B39</f>
        <v>0</v>
      </c>
      <c r="C13" s="934"/>
      <c r="D13" s="934"/>
      <c r="E13" s="934"/>
      <c r="F13" s="934">
        <f>+F14+F23+F33+F37+F38+F39</f>
        <v>0</v>
      </c>
      <c r="G13" s="934"/>
      <c r="H13" s="934">
        <f>+H14+H23+H33+H37+H38+H39</f>
        <v>0</v>
      </c>
      <c r="I13" s="934"/>
      <c r="J13" s="934">
        <f>+J14+J23+J33+J37+J38+J39</f>
        <v>0</v>
      </c>
      <c r="K13" s="934"/>
    </row>
    <row r="14" spans="1:159" ht="12.75" customHeight="1" x14ac:dyDescent="0.3">
      <c r="A14" s="192" t="s">
        <v>413</v>
      </c>
      <c r="B14" s="935">
        <f>+B15+B19</f>
        <v>0</v>
      </c>
      <c r="C14" s="935"/>
      <c r="D14" s="935"/>
      <c r="E14" s="935"/>
      <c r="F14" s="935">
        <f>+F15+F19</f>
        <v>0</v>
      </c>
      <c r="G14" s="935"/>
      <c r="H14" s="935">
        <f>+H15+H19</f>
        <v>0</v>
      </c>
      <c r="I14" s="935"/>
      <c r="J14" s="935">
        <f>+J15+J19</f>
        <v>0</v>
      </c>
      <c r="K14" s="935"/>
    </row>
    <row r="15" spans="1:159" ht="12.75" customHeight="1" x14ac:dyDescent="0.3">
      <c r="A15" s="193" t="s">
        <v>414</v>
      </c>
      <c r="B15" s="936">
        <f>SUM(B16:E18)</f>
        <v>0</v>
      </c>
      <c r="C15" s="936"/>
      <c r="D15" s="936"/>
      <c r="E15" s="936"/>
      <c r="F15" s="936">
        <f>SUM(F16:G18)</f>
        <v>0</v>
      </c>
      <c r="G15" s="936"/>
      <c r="H15" s="936">
        <f>SUM(H16:I18)</f>
        <v>0</v>
      </c>
      <c r="I15" s="936"/>
      <c r="J15" s="936">
        <f>SUM(J16:K18)</f>
        <v>0</v>
      </c>
      <c r="K15" s="936"/>
    </row>
    <row r="16" spans="1:159" ht="12.75" customHeight="1" x14ac:dyDescent="0.3">
      <c r="A16" s="146" t="s">
        <v>415</v>
      </c>
      <c r="B16" s="937"/>
      <c r="C16" s="937"/>
      <c r="D16" s="937"/>
      <c r="E16" s="937"/>
      <c r="F16" s="937"/>
      <c r="G16" s="937"/>
      <c r="H16" s="892"/>
      <c r="I16" s="892"/>
      <c r="J16" s="892"/>
      <c r="K16" s="892"/>
    </row>
    <row r="17" spans="1:11" ht="12.75" customHeight="1" x14ac:dyDescent="0.3">
      <c r="A17" s="146" t="s">
        <v>416</v>
      </c>
      <c r="B17" s="937"/>
      <c r="C17" s="937"/>
      <c r="D17" s="937"/>
      <c r="E17" s="937"/>
      <c r="F17" s="937"/>
      <c r="G17" s="937"/>
      <c r="H17" s="892"/>
      <c r="I17" s="892"/>
      <c r="J17" s="892"/>
      <c r="K17" s="892"/>
    </row>
    <row r="18" spans="1:11" ht="12.75" customHeight="1" x14ac:dyDescent="0.3">
      <c r="A18" s="146" t="s">
        <v>417</v>
      </c>
      <c r="B18" s="937"/>
      <c r="C18" s="937"/>
      <c r="D18" s="937"/>
      <c r="E18" s="937"/>
      <c r="F18" s="937"/>
      <c r="G18" s="937"/>
      <c r="H18" s="892"/>
      <c r="I18" s="892"/>
      <c r="J18" s="892"/>
      <c r="K18" s="892"/>
    </row>
    <row r="19" spans="1:11" ht="12.75" customHeight="1" x14ac:dyDescent="0.3">
      <c r="A19" s="193" t="s">
        <v>418</v>
      </c>
      <c r="B19" s="936">
        <f>SUM(B20:E22)</f>
        <v>0</v>
      </c>
      <c r="C19" s="936"/>
      <c r="D19" s="936"/>
      <c r="E19" s="936"/>
      <c r="F19" s="936">
        <f>SUM(F20:G22)</f>
        <v>0</v>
      </c>
      <c r="G19" s="936"/>
      <c r="H19" s="936">
        <f>SUM(H20:I22)</f>
        <v>0</v>
      </c>
      <c r="I19" s="936"/>
      <c r="J19" s="936">
        <f>SUM(J20:K22)</f>
        <v>0</v>
      </c>
      <c r="K19" s="936"/>
    </row>
    <row r="20" spans="1:11" ht="12.75" customHeight="1" x14ac:dyDescent="0.3">
      <c r="A20" s="146" t="s">
        <v>419</v>
      </c>
      <c r="B20" s="937"/>
      <c r="C20" s="937"/>
      <c r="D20" s="937"/>
      <c r="E20" s="937"/>
      <c r="F20" s="937"/>
      <c r="G20" s="937"/>
      <c r="H20" s="892"/>
      <c r="I20" s="892"/>
      <c r="J20" s="892"/>
      <c r="K20" s="892"/>
    </row>
    <row r="21" spans="1:11" ht="12.75" customHeight="1" x14ac:dyDescent="0.3">
      <c r="A21" s="146" t="s">
        <v>420</v>
      </c>
      <c r="B21" s="937"/>
      <c r="C21" s="937"/>
      <c r="D21" s="937"/>
      <c r="E21" s="937"/>
      <c r="F21" s="937"/>
      <c r="G21" s="937"/>
      <c r="H21" s="892"/>
      <c r="I21" s="892"/>
      <c r="J21" s="892"/>
      <c r="K21" s="892"/>
    </row>
    <row r="22" spans="1:11" ht="12.75" customHeight="1" x14ac:dyDescent="0.3">
      <c r="A22" s="146" t="s">
        <v>417</v>
      </c>
      <c r="B22" s="937"/>
      <c r="C22" s="937"/>
      <c r="D22" s="937"/>
      <c r="E22" s="937"/>
      <c r="F22" s="937"/>
      <c r="G22" s="937"/>
      <c r="H22" s="892"/>
      <c r="I22" s="892"/>
      <c r="J22" s="892"/>
      <c r="K22" s="892"/>
    </row>
    <row r="23" spans="1:11" ht="12.75" customHeight="1" x14ac:dyDescent="0.3">
      <c r="A23" s="192" t="s">
        <v>421</v>
      </c>
      <c r="B23" s="935">
        <f>+B24+B28+B32</f>
        <v>0</v>
      </c>
      <c r="C23" s="935"/>
      <c r="D23" s="935"/>
      <c r="E23" s="935"/>
      <c r="F23" s="935">
        <f>+F24+F28+F32</f>
        <v>0</v>
      </c>
      <c r="G23" s="935"/>
      <c r="H23" s="935">
        <f>+H24+H28+H32</f>
        <v>0</v>
      </c>
      <c r="I23" s="935"/>
      <c r="J23" s="935">
        <f>+J24+J28+J32</f>
        <v>0</v>
      </c>
      <c r="K23" s="935"/>
    </row>
    <row r="24" spans="1:11" ht="12.75" customHeight="1" x14ac:dyDescent="0.3">
      <c r="A24" s="193" t="s">
        <v>414</v>
      </c>
      <c r="B24" s="936">
        <f>SUM(B25:E27)</f>
        <v>0</v>
      </c>
      <c r="C24" s="936"/>
      <c r="D24" s="936"/>
      <c r="E24" s="936"/>
      <c r="F24" s="936">
        <f>SUM(F25:G27)</f>
        <v>0</v>
      </c>
      <c r="G24" s="936"/>
      <c r="H24" s="936">
        <f>SUM(H25:I27)</f>
        <v>0</v>
      </c>
      <c r="I24" s="936"/>
      <c r="J24" s="936">
        <f>SUM(J25:K27)</f>
        <v>0</v>
      </c>
      <c r="K24" s="936"/>
    </row>
    <row r="25" spans="1:11" ht="12.75" customHeight="1" x14ac:dyDescent="0.3">
      <c r="A25" s="146" t="s">
        <v>415</v>
      </c>
      <c r="B25" s="937"/>
      <c r="C25" s="937"/>
      <c r="D25" s="937"/>
      <c r="E25" s="937"/>
      <c r="F25" s="937"/>
      <c r="G25" s="937"/>
      <c r="H25" s="892"/>
      <c r="I25" s="892"/>
      <c r="J25" s="892"/>
      <c r="K25" s="892"/>
    </row>
    <row r="26" spans="1:11" ht="12.75" customHeight="1" x14ac:dyDescent="0.3">
      <c r="A26" s="146" t="s">
        <v>416</v>
      </c>
      <c r="B26" s="937"/>
      <c r="C26" s="937"/>
      <c r="D26" s="937"/>
      <c r="E26" s="937"/>
      <c r="F26" s="937"/>
      <c r="G26" s="937"/>
      <c r="H26" s="892"/>
      <c r="I26" s="892"/>
      <c r="J26" s="892"/>
      <c r="K26" s="892"/>
    </row>
    <row r="27" spans="1:11" ht="12.75" customHeight="1" x14ac:dyDescent="0.3">
      <c r="A27" s="146" t="s">
        <v>417</v>
      </c>
      <c r="B27" s="937"/>
      <c r="C27" s="937"/>
      <c r="D27" s="937"/>
      <c r="E27" s="937"/>
      <c r="F27" s="937"/>
      <c r="G27" s="937"/>
      <c r="H27" s="892"/>
      <c r="I27" s="892"/>
      <c r="J27" s="892"/>
      <c r="K27" s="892"/>
    </row>
    <row r="28" spans="1:11" ht="12.75" customHeight="1" x14ac:dyDescent="0.3">
      <c r="A28" s="193" t="s">
        <v>418</v>
      </c>
      <c r="B28" s="936">
        <f>SUM(B29:E31)</f>
        <v>0</v>
      </c>
      <c r="C28" s="936"/>
      <c r="D28" s="936"/>
      <c r="E28" s="936"/>
      <c r="F28" s="936">
        <f>SUM(F29:G31)</f>
        <v>0</v>
      </c>
      <c r="G28" s="936"/>
      <c r="H28" s="936">
        <f>SUM(H29:I31)</f>
        <v>0</v>
      </c>
      <c r="I28" s="936"/>
      <c r="J28" s="936">
        <f>SUM(J29:K31)</f>
        <v>0</v>
      </c>
      <c r="K28" s="936"/>
    </row>
    <row r="29" spans="1:11" ht="12.75" customHeight="1" x14ac:dyDescent="0.3">
      <c r="A29" s="146" t="s">
        <v>419</v>
      </c>
      <c r="B29" s="937"/>
      <c r="C29" s="937"/>
      <c r="D29" s="937"/>
      <c r="E29" s="937"/>
      <c r="F29" s="937"/>
      <c r="G29" s="937"/>
      <c r="H29" s="892"/>
      <c r="I29" s="892"/>
      <c r="J29" s="892"/>
      <c r="K29" s="892"/>
    </row>
    <row r="30" spans="1:11" ht="12.75" customHeight="1" x14ac:dyDescent="0.3">
      <c r="A30" s="146" t="s">
        <v>420</v>
      </c>
      <c r="B30" s="937"/>
      <c r="C30" s="937"/>
      <c r="D30" s="937"/>
      <c r="E30" s="937"/>
      <c r="F30" s="937"/>
      <c r="G30" s="937"/>
      <c r="H30" s="892"/>
      <c r="I30" s="892"/>
      <c r="J30" s="892"/>
      <c r="K30" s="892"/>
    </row>
    <row r="31" spans="1:11" ht="12.75" customHeight="1" x14ac:dyDescent="0.3">
      <c r="A31" s="146" t="s">
        <v>417</v>
      </c>
      <c r="B31" s="937"/>
      <c r="C31" s="937"/>
      <c r="D31" s="937"/>
      <c r="E31" s="937"/>
      <c r="F31" s="937"/>
      <c r="G31" s="937"/>
      <c r="H31" s="892"/>
      <c r="I31" s="892"/>
      <c r="J31" s="892"/>
      <c r="K31" s="892"/>
    </row>
    <row r="32" spans="1:11" ht="12.75" customHeight="1" x14ac:dyDescent="0.3">
      <c r="A32" s="193" t="s">
        <v>422</v>
      </c>
      <c r="B32" s="937"/>
      <c r="C32" s="937"/>
      <c r="D32" s="937"/>
      <c r="E32" s="937"/>
      <c r="F32" s="937"/>
      <c r="G32" s="937"/>
      <c r="H32" s="937"/>
      <c r="I32" s="937"/>
      <c r="J32" s="937"/>
      <c r="K32" s="937"/>
    </row>
    <row r="33" spans="1:14" ht="12.75" customHeight="1" x14ac:dyDescent="0.3">
      <c r="A33" s="192" t="s">
        <v>423</v>
      </c>
      <c r="B33" s="935">
        <f>SUM(B34:E36)</f>
        <v>0</v>
      </c>
      <c r="C33" s="935"/>
      <c r="D33" s="935"/>
      <c r="E33" s="935"/>
      <c r="F33" s="935">
        <f>SUM(F34:G36)</f>
        <v>0</v>
      </c>
      <c r="G33" s="935"/>
      <c r="H33" s="935">
        <f>SUM(H34:I36)</f>
        <v>0</v>
      </c>
      <c r="I33" s="935"/>
      <c r="J33" s="935">
        <f>SUM(J34:K36)</f>
        <v>0</v>
      </c>
      <c r="K33" s="935"/>
    </row>
    <row r="34" spans="1:14" ht="12.75" customHeight="1" x14ac:dyDescent="0.3">
      <c r="A34" s="146" t="s">
        <v>424</v>
      </c>
      <c r="B34" s="937"/>
      <c r="C34" s="937"/>
      <c r="D34" s="937"/>
      <c r="E34" s="937"/>
      <c r="F34" s="937"/>
      <c r="G34" s="937"/>
      <c r="H34" s="892"/>
      <c r="I34" s="892"/>
      <c r="J34" s="892"/>
      <c r="K34" s="892"/>
    </row>
    <row r="35" spans="1:14" ht="12.75" customHeight="1" x14ac:dyDescent="0.3">
      <c r="A35" s="146" t="s">
        <v>425</v>
      </c>
      <c r="B35" s="937"/>
      <c r="C35" s="937"/>
      <c r="D35" s="937"/>
      <c r="E35" s="937"/>
      <c r="F35" s="937"/>
      <c r="G35" s="937"/>
      <c r="H35" s="892"/>
      <c r="I35" s="892"/>
      <c r="J35" s="892"/>
      <c r="K35" s="892"/>
    </row>
    <row r="36" spans="1:14" ht="12.75" customHeight="1" x14ac:dyDescent="0.3">
      <c r="A36" s="146" t="s">
        <v>426</v>
      </c>
      <c r="B36" s="937"/>
      <c r="C36" s="937"/>
      <c r="D36" s="937"/>
      <c r="E36" s="937"/>
      <c r="F36" s="937"/>
      <c r="G36" s="937"/>
      <c r="H36" s="892"/>
      <c r="I36" s="892"/>
      <c r="J36" s="892"/>
      <c r="K36" s="892"/>
    </row>
    <row r="37" spans="1:14" ht="12.75" customHeight="1" x14ac:dyDescent="0.3">
      <c r="A37" s="192" t="s">
        <v>427</v>
      </c>
      <c r="B37" s="937"/>
      <c r="C37" s="937"/>
      <c r="D37" s="937"/>
      <c r="E37" s="937"/>
      <c r="F37" s="937"/>
      <c r="G37" s="937"/>
      <c r="H37" s="937"/>
      <c r="I37" s="937"/>
      <c r="J37" s="937"/>
      <c r="K37" s="937"/>
    </row>
    <row r="38" spans="1:14" ht="12.75" hidden="1" customHeight="1" x14ac:dyDescent="0.3">
      <c r="A38" s="192" t="s">
        <v>428</v>
      </c>
      <c r="B38" s="937"/>
      <c r="C38" s="937"/>
      <c r="D38" s="937"/>
      <c r="E38" s="937"/>
      <c r="F38" s="937"/>
      <c r="G38" s="937"/>
      <c r="H38" s="937"/>
      <c r="I38" s="937"/>
      <c r="J38" s="937"/>
      <c r="K38" s="937"/>
    </row>
    <row r="39" spans="1:14" ht="12.75" customHeight="1" x14ac:dyDescent="0.3">
      <c r="A39" s="192" t="s">
        <v>429</v>
      </c>
      <c r="B39" s="935">
        <f>SUM(B40:E42)</f>
        <v>0</v>
      </c>
      <c r="C39" s="935"/>
      <c r="D39" s="935"/>
      <c r="E39" s="935"/>
      <c r="F39" s="935">
        <f>SUM(F40:G42)</f>
        <v>0</v>
      </c>
      <c r="G39" s="935"/>
      <c r="H39" s="935">
        <f>SUM(H40:I42)</f>
        <v>0</v>
      </c>
      <c r="I39" s="935"/>
      <c r="J39" s="935">
        <f>SUM(J40:K42)</f>
        <v>0</v>
      </c>
      <c r="K39" s="935"/>
    </row>
    <row r="40" spans="1:14" ht="12.75" customHeight="1" x14ac:dyDescent="0.3">
      <c r="A40" s="146" t="s">
        <v>430</v>
      </c>
      <c r="B40" s="937"/>
      <c r="C40" s="937"/>
      <c r="D40" s="937"/>
      <c r="E40" s="937"/>
      <c r="F40" s="937"/>
      <c r="G40" s="937"/>
      <c r="H40" s="892"/>
      <c r="I40" s="892"/>
      <c r="J40" s="892"/>
      <c r="K40" s="892"/>
    </row>
    <row r="41" spans="1:14" ht="12.75" customHeight="1" x14ac:dyDescent="0.3">
      <c r="A41" s="145" t="s">
        <v>431</v>
      </c>
      <c r="B41" s="937"/>
      <c r="C41" s="937"/>
      <c r="D41" s="937"/>
      <c r="E41" s="937"/>
      <c r="F41" s="937"/>
      <c r="G41" s="937"/>
      <c r="H41" s="892"/>
      <c r="I41" s="892"/>
      <c r="J41" s="892"/>
      <c r="K41" s="892"/>
    </row>
    <row r="42" spans="1:14" ht="12.75" customHeight="1" x14ac:dyDescent="0.3">
      <c r="A42" s="146" t="s">
        <v>86</v>
      </c>
      <c r="B42" s="937"/>
      <c r="C42" s="937"/>
      <c r="D42" s="937"/>
      <c r="E42" s="937"/>
      <c r="F42" s="937"/>
      <c r="G42" s="937"/>
      <c r="H42" s="892"/>
      <c r="I42" s="892"/>
      <c r="J42" s="892"/>
      <c r="K42" s="892"/>
    </row>
    <row r="43" spans="1:14" ht="12.75" customHeight="1" x14ac:dyDescent="0.3">
      <c r="A43" s="194" t="s">
        <v>432</v>
      </c>
      <c r="B43" s="934">
        <f>SUM(B44:E46)</f>
        <v>0</v>
      </c>
      <c r="C43" s="934"/>
      <c r="D43" s="934"/>
      <c r="E43" s="934"/>
      <c r="F43" s="934">
        <f>SUM(F44:G46)</f>
        <v>0</v>
      </c>
      <c r="G43" s="934"/>
      <c r="H43" s="934">
        <f>SUM(H44:I46)</f>
        <v>0</v>
      </c>
      <c r="I43" s="934"/>
      <c r="J43" s="934">
        <f>SUM(J44:K46)</f>
        <v>0</v>
      </c>
      <c r="K43" s="934"/>
    </row>
    <row r="44" spans="1:14" ht="12.75" customHeight="1" x14ac:dyDescent="0.3">
      <c r="A44" s="146" t="s">
        <v>433</v>
      </c>
      <c r="B44" s="937"/>
      <c r="C44" s="937"/>
      <c r="D44" s="937"/>
      <c r="E44" s="937"/>
      <c r="F44" s="937"/>
      <c r="G44" s="937"/>
      <c r="H44" s="892"/>
      <c r="I44" s="892"/>
      <c r="J44" s="892"/>
      <c r="K44" s="892"/>
    </row>
    <row r="45" spans="1:14" ht="12.75" customHeight="1" x14ac:dyDescent="0.3">
      <c r="A45" s="146" t="s">
        <v>434</v>
      </c>
      <c r="B45" s="937"/>
      <c r="C45" s="937"/>
      <c r="D45" s="937"/>
      <c r="E45" s="937"/>
      <c r="F45" s="937"/>
      <c r="G45" s="937"/>
      <c r="H45" s="892"/>
      <c r="I45" s="892"/>
      <c r="J45" s="892"/>
      <c r="K45" s="892"/>
    </row>
    <row r="46" spans="1:14" ht="12.75" customHeight="1" x14ac:dyDescent="0.3">
      <c r="A46" s="146" t="s">
        <v>435</v>
      </c>
      <c r="B46" s="937"/>
      <c r="C46" s="937"/>
      <c r="D46" s="937"/>
      <c r="E46" s="937"/>
      <c r="F46" s="937"/>
      <c r="G46" s="937"/>
      <c r="H46" s="892"/>
      <c r="I46" s="892"/>
      <c r="J46" s="892"/>
      <c r="K46" s="892"/>
    </row>
    <row r="47" spans="1:14" ht="12.75" customHeight="1" x14ac:dyDescent="0.3">
      <c r="A47" s="195" t="s">
        <v>436</v>
      </c>
      <c r="B47" s="938">
        <f>+B43+B13</f>
        <v>0</v>
      </c>
      <c r="C47" s="938"/>
      <c r="D47" s="938"/>
      <c r="E47" s="938"/>
      <c r="F47" s="939">
        <f>+F43+F13</f>
        <v>0</v>
      </c>
      <c r="G47" s="939"/>
      <c r="H47" s="939">
        <f>+H43+H13</f>
        <v>0</v>
      </c>
      <c r="I47" s="939"/>
      <c r="J47" s="939">
        <f>+J43+J13</f>
        <v>0</v>
      </c>
      <c r="K47" s="939"/>
      <c r="N47" s="142" t="s">
        <v>437</v>
      </c>
    </row>
    <row r="48" spans="1:14" ht="6" customHeight="1" x14ac:dyDescent="0.3">
      <c r="B48" s="18"/>
      <c r="C48" s="18"/>
      <c r="D48" s="18"/>
      <c r="E48" s="18"/>
      <c r="F48" s="20"/>
    </row>
    <row r="49" spans="1:11" ht="44.25" customHeight="1" x14ac:dyDescent="0.3">
      <c r="A49" s="940" t="s">
        <v>438</v>
      </c>
      <c r="B49" s="931" t="s">
        <v>124</v>
      </c>
      <c r="C49" s="931"/>
      <c r="D49" s="941" t="s">
        <v>125</v>
      </c>
      <c r="E49" s="941"/>
      <c r="F49" s="931" t="s">
        <v>126</v>
      </c>
      <c r="G49" s="931"/>
      <c r="H49" s="931" t="s">
        <v>127</v>
      </c>
      <c r="I49" s="931"/>
      <c r="J49" s="931" t="s">
        <v>195</v>
      </c>
      <c r="K49" s="931"/>
    </row>
    <row r="50" spans="1:11" ht="17.25" customHeight="1" x14ac:dyDescent="0.3">
      <c r="A50" s="940"/>
      <c r="B50" s="931"/>
      <c r="C50" s="931"/>
      <c r="D50" s="941"/>
      <c r="E50" s="941"/>
      <c r="F50" s="196" t="s">
        <v>411</v>
      </c>
      <c r="G50" s="196" t="s">
        <v>411</v>
      </c>
      <c r="H50" s="196" t="s">
        <v>411</v>
      </c>
      <c r="I50" s="196" t="s">
        <v>411</v>
      </c>
      <c r="J50" s="197" t="s">
        <v>439</v>
      </c>
      <c r="K50" s="197" t="s">
        <v>439</v>
      </c>
    </row>
    <row r="51" spans="1:11" ht="25.5" customHeight="1" x14ac:dyDescent="0.3">
      <c r="A51" s="940"/>
      <c r="B51" s="931"/>
      <c r="C51" s="931"/>
      <c r="D51" s="941"/>
      <c r="E51" s="941"/>
      <c r="F51" s="198" t="str">
        <f>+$H$12</f>
        <v>2018</v>
      </c>
      <c r="G51" s="198">
        <f>+$J$12</f>
        <v>2017</v>
      </c>
      <c r="H51" s="198" t="str">
        <f>+$H$12</f>
        <v>2018</v>
      </c>
      <c r="I51" s="198">
        <f>+$J$12</f>
        <v>2017</v>
      </c>
      <c r="J51" s="198" t="str">
        <f>+$H$12</f>
        <v>2018</v>
      </c>
      <c r="K51" s="189">
        <f>+$J$12</f>
        <v>2017</v>
      </c>
    </row>
    <row r="52" spans="1:11" ht="12.75" customHeight="1" x14ac:dyDescent="0.3">
      <c r="A52" s="199" t="s">
        <v>440</v>
      </c>
      <c r="B52" s="942">
        <f>SUM(B53:C54)</f>
        <v>0</v>
      </c>
      <c r="C52" s="942"/>
      <c r="D52" s="942">
        <f>SUM(D53:E54)</f>
        <v>0</v>
      </c>
      <c r="E52" s="942"/>
      <c r="F52" s="200">
        <f t="shared" ref="F52:K52" si="0">SUM(F53:F54)</f>
        <v>0</v>
      </c>
      <c r="G52" s="200">
        <f t="shared" si="0"/>
        <v>0</v>
      </c>
      <c r="H52" s="200">
        <f t="shared" si="0"/>
        <v>0</v>
      </c>
      <c r="I52" s="200">
        <f t="shared" si="0"/>
        <v>0</v>
      </c>
      <c r="J52" s="200">
        <f t="shared" si="0"/>
        <v>0</v>
      </c>
      <c r="K52" s="201">
        <f t="shared" si="0"/>
        <v>0</v>
      </c>
    </row>
    <row r="53" spans="1:11" ht="12.75" customHeight="1" x14ac:dyDescent="0.3">
      <c r="A53" s="202" t="s">
        <v>441</v>
      </c>
      <c r="B53" s="893"/>
      <c r="C53" s="893"/>
      <c r="D53" s="893"/>
      <c r="E53" s="893"/>
      <c r="F53" s="203"/>
      <c r="G53" s="203"/>
      <c r="H53" s="203"/>
      <c r="I53" s="203"/>
      <c r="J53" s="203"/>
      <c r="K53" s="204"/>
    </row>
    <row r="54" spans="1:11" ht="12.75" customHeight="1" x14ac:dyDescent="0.3">
      <c r="A54" s="202" t="s">
        <v>442</v>
      </c>
      <c r="B54" s="893"/>
      <c r="C54" s="893"/>
      <c r="D54" s="893"/>
      <c r="E54" s="893"/>
      <c r="F54" s="203"/>
      <c r="G54" s="203"/>
      <c r="H54" s="203"/>
      <c r="I54" s="203"/>
      <c r="J54" s="203"/>
      <c r="K54" s="204"/>
    </row>
    <row r="55" spans="1:11" ht="12.75" customHeight="1" x14ac:dyDescent="0.3">
      <c r="A55" s="205" t="s">
        <v>443</v>
      </c>
      <c r="B55" s="942">
        <f>+B56+B60+B64</f>
        <v>0</v>
      </c>
      <c r="C55" s="942"/>
      <c r="D55" s="942">
        <f>+D56+D60+D64</f>
        <v>0</v>
      </c>
      <c r="E55" s="942"/>
      <c r="F55" s="206">
        <f t="shared" ref="F55:K55" si="1">+F56+F60+F64</f>
        <v>0</v>
      </c>
      <c r="G55" s="206">
        <f t="shared" si="1"/>
        <v>0</v>
      </c>
      <c r="H55" s="206">
        <f t="shared" si="1"/>
        <v>0</v>
      </c>
      <c r="I55" s="206">
        <f t="shared" si="1"/>
        <v>0</v>
      </c>
      <c r="J55" s="206">
        <f t="shared" si="1"/>
        <v>0</v>
      </c>
      <c r="K55" s="201">
        <f t="shared" si="1"/>
        <v>0</v>
      </c>
    </row>
    <row r="56" spans="1:11" ht="12.75" customHeight="1" x14ac:dyDescent="0.3">
      <c r="A56" s="207" t="s">
        <v>444</v>
      </c>
      <c r="B56" s="943">
        <f>SUM(B57:C59)</f>
        <v>0</v>
      </c>
      <c r="C56" s="943"/>
      <c r="D56" s="943">
        <f>SUM(D57:E59)</f>
        <v>0</v>
      </c>
      <c r="E56" s="943"/>
      <c r="F56" s="208">
        <f t="shared" ref="F56:K56" si="2">SUM(F57:F59)</f>
        <v>0</v>
      </c>
      <c r="G56" s="208">
        <f t="shared" si="2"/>
        <v>0</v>
      </c>
      <c r="H56" s="208">
        <f t="shared" si="2"/>
        <v>0</v>
      </c>
      <c r="I56" s="208">
        <f t="shared" si="2"/>
        <v>0</v>
      </c>
      <c r="J56" s="208">
        <f t="shared" si="2"/>
        <v>0</v>
      </c>
      <c r="K56" s="209">
        <f t="shared" si="2"/>
        <v>0</v>
      </c>
    </row>
    <row r="57" spans="1:11" ht="12.75" customHeight="1" x14ac:dyDescent="0.3">
      <c r="A57" s="202" t="s">
        <v>445</v>
      </c>
      <c r="B57" s="893"/>
      <c r="C57" s="893"/>
      <c r="D57" s="893"/>
      <c r="E57" s="893"/>
      <c r="F57" s="210"/>
      <c r="G57" s="210"/>
      <c r="H57" s="210"/>
      <c r="I57" s="210"/>
      <c r="J57" s="210"/>
      <c r="K57" s="204"/>
    </row>
    <row r="58" spans="1:11" ht="12.75" customHeight="1" x14ac:dyDescent="0.3">
      <c r="A58" s="202" t="s">
        <v>446</v>
      </c>
      <c r="B58" s="893"/>
      <c r="C58" s="893"/>
      <c r="D58" s="893"/>
      <c r="E58" s="893"/>
      <c r="F58" s="210"/>
      <c r="G58" s="210"/>
      <c r="H58" s="210"/>
      <c r="I58" s="210"/>
      <c r="J58" s="210"/>
      <c r="K58" s="204"/>
    </row>
    <row r="59" spans="1:11" ht="12.75" customHeight="1" x14ac:dyDescent="0.3">
      <c r="A59" s="202" t="s">
        <v>447</v>
      </c>
      <c r="B59" s="893"/>
      <c r="C59" s="893"/>
      <c r="D59" s="893"/>
      <c r="E59" s="893"/>
      <c r="F59" s="210"/>
      <c r="G59" s="210"/>
      <c r="H59" s="210"/>
      <c r="I59" s="210"/>
      <c r="J59" s="210"/>
      <c r="K59" s="204"/>
    </row>
    <row r="60" spans="1:11" ht="12.75" customHeight="1" x14ac:dyDescent="0.3">
      <c r="A60" s="207" t="s">
        <v>448</v>
      </c>
      <c r="B60" s="943">
        <f>SUM(B61:C63)</f>
        <v>0</v>
      </c>
      <c r="C60" s="943"/>
      <c r="D60" s="943">
        <f>SUM(D61:E63)</f>
        <v>0</v>
      </c>
      <c r="E60" s="943"/>
      <c r="F60" s="208">
        <f t="shared" ref="F60:K60" si="3">SUM(F61:F63)</f>
        <v>0</v>
      </c>
      <c r="G60" s="208">
        <f t="shared" si="3"/>
        <v>0</v>
      </c>
      <c r="H60" s="208">
        <f t="shared" si="3"/>
        <v>0</v>
      </c>
      <c r="I60" s="208">
        <f t="shared" si="3"/>
        <v>0</v>
      </c>
      <c r="J60" s="208">
        <f t="shared" si="3"/>
        <v>0</v>
      </c>
      <c r="K60" s="209">
        <f t="shared" si="3"/>
        <v>0</v>
      </c>
    </row>
    <row r="61" spans="1:11" ht="12.75" customHeight="1" x14ac:dyDescent="0.3">
      <c r="A61" s="202" t="s">
        <v>449</v>
      </c>
      <c r="B61" s="893"/>
      <c r="C61" s="893"/>
      <c r="D61" s="893"/>
      <c r="E61" s="893"/>
      <c r="F61" s="210"/>
      <c r="G61" s="210"/>
      <c r="H61" s="210"/>
      <c r="I61" s="210"/>
      <c r="J61" s="210"/>
      <c r="K61" s="204"/>
    </row>
    <row r="62" spans="1:11" ht="12.75" customHeight="1" x14ac:dyDescent="0.3">
      <c r="A62" s="202" t="s">
        <v>446</v>
      </c>
      <c r="B62" s="893"/>
      <c r="C62" s="893"/>
      <c r="D62" s="893"/>
      <c r="E62" s="893"/>
      <c r="F62" s="210"/>
      <c r="G62" s="210"/>
      <c r="H62" s="210"/>
      <c r="I62" s="210"/>
      <c r="J62" s="210"/>
      <c r="K62" s="204"/>
    </row>
    <row r="63" spans="1:11" ht="12.75" customHeight="1" x14ac:dyDescent="0.3">
      <c r="A63" s="202" t="s">
        <v>447</v>
      </c>
      <c r="B63" s="893"/>
      <c r="C63" s="893"/>
      <c r="D63" s="893"/>
      <c r="E63" s="893"/>
      <c r="F63" s="210"/>
      <c r="G63" s="210"/>
      <c r="H63" s="210"/>
      <c r="I63" s="210"/>
      <c r="J63" s="210"/>
      <c r="K63" s="204"/>
    </row>
    <row r="64" spans="1:11" ht="12.75" customHeight="1" x14ac:dyDescent="0.3">
      <c r="A64" s="207" t="s">
        <v>450</v>
      </c>
      <c r="B64" s="943">
        <f>SUM(B65:C66)</f>
        <v>0</v>
      </c>
      <c r="C64" s="943"/>
      <c r="D64" s="943">
        <f>SUM(D65:E66)</f>
        <v>0</v>
      </c>
      <c r="E64" s="943"/>
      <c r="F64" s="208">
        <f t="shared" ref="F64:K64" si="4">SUM(F65:F66)</f>
        <v>0</v>
      </c>
      <c r="G64" s="208">
        <f t="shared" si="4"/>
        <v>0</v>
      </c>
      <c r="H64" s="208">
        <f t="shared" si="4"/>
        <v>0</v>
      </c>
      <c r="I64" s="208">
        <f t="shared" si="4"/>
        <v>0</v>
      </c>
      <c r="J64" s="208">
        <f t="shared" si="4"/>
        <v>0</v>
      </c>
      <c r="K64" s="209">
        <f t="shared" si="4"/>
        <v>0</v>
      </c>
    </row>
    <row r="65" spans="1:19" ht="12.75" customHeight="1" x14ac:dyDescent="0.3">
      <c r="A65" s="202" t="s">
        <v>451</v>
      </c>
      <c r="B65" s="893"/>
      <c r="C65" s="893"/>
      <c r="D65" s="893"/>
      <c r="E65" s="893"/>
      <c r="F65" s="210"/>
      <c r="G65" s="210"/>
      <c r="H65" s="210"/>
      <c r="I65" s="210"/>
      <c r="J65" s="210"/>
      <c r="K65" s="204"/>
    </row>
    <row r="66" spans="1:19" ht="12.75" customHeight="1" x14ac:dyDescent="0.3">
      <c r="A66" s="202" t="s">
        <v>452</v>
      </c>
      <c r="B66" s="893"/>
      <c r="C66" s="893"/>
      <c r="D66" s="893"/>
      <c r="E66" s="893"/>
      <c r="F66" s="210"/>
      <c r="G66" s="210"/>
      <c r="H66" s="210"/>
      <c r="I66" s="210"/>
      <c r="J66" s="210"/>
      <c r="K66" s="204"/>
    </row>
    <row r="67" spans="1:19" ht="12.75" customHeight="1" x14ac:dyDescent="0.3">
      <c r="A67" s="211" t="s">
        <v>453</v>
      </c>
      <c r="B67" s="944">
        <f>+B55+B52</f>
        <v>0</v>
      </c>
      <c r="C67" s="944"/>
      <c r="D67" s="944">
        <f>+D55+D52</f>
        <v>0</v>
      </c>
      <c r="E67" s="944"/>
      <c r="F67" s="212">
        <f t="shared" ref="F67:K67" si="5">+F55+F52</f>
        <v>0</v>
      </c>
      <c r="G67" s="212">
        <f t="shared" si="5"/>
        <v>0</v>
      </c>
      <c r="H67" s="212">
        <f t="shared" si="5"/>
        <v>0</v>
      </c>
      <c r="I67" s="212">
        <f t="shared" si="5"/>
        <v>0</v>
      </c>
      <c r="J67" s="212">
        <f t="shared" si="5"/>
        <v>0</v>
      </c>
      <c r="K67" s="213">
        <f t="shared" si="5"/>
        <v>0</v>
      </c>
    </row>
    <row r="68" spans="1:19" s="129" customFormat="1" ht="6" customHeight="1" x14ac:dyDescent="0.3">
      <c r="A68" s="214"/>
      <c r="B68" s="215"/>
      <c r="C68" s="215"/>
      <c r="D68" s="216"/>
      <c r="E68" s="216"/>
      <c r="F68" s="216"/>
    </row>
    <row r="69" spans="1:19" ht="12.75" customHeight="1" x14ac:dyDescent="0.3">
      <c r="A69" s="217" t="s">
        <v>454</v>
      </c>
      <c r="B69" s="944">
        <f>+B47-B67</f>
        <v>0</v>
      </c>
      <c r="C69" s="944"/>
      <c r="D69" s="945">
        <f>+F47-D67</f>
        <v>0</v>
      </c>
      <c r="E69" s="945"/>
      <c r="F69" s="218">
        <f>+H47-F67</f>
        <v>0</v>
      </c>
      <c r="G69" s="212">
        <f>+J47-G67</f>
        <v>0</v>
      </c>
      <c r="H69" s="212">
        <f>+H47-H67</f>
        <v>0</v>
      </c>
      <c r="I69" s="212">
        <f>+J47-I67</f>
        <v>0</v>
      </c>
      <c r="J69" s="219"/>
      <c r="K69" s="219"/>
      <c r="L69" s="220"/>
      <c r="M69" s="220"/>
      <c r="N69" s="220"/>
      <c r="O69" s="220"/>
      <c r="P69" s="220"/>
      <c r="Q69" s="220"/>
      <c r="R69" s="220"/>
      <c r="S69" s="220"/>
    </row>
    <row r="70" spans="1:19" ht="6" customHeight="1" x14ac:dyDescent="0.3">
      <c r="A70" s="221"/>
      <c r="B70" s="222"/>
      <c r="C70" s="222"/>
      <c r="D70" s="223"/>
      <c r="E70" s="223"/>
      <c r="F70" s="224"/>
      <c r="G70" s="224"/>
      <c r="H70" s="224"/>
      <c r="I70" s="224"/>
      <c r="J70" s="225"/>
      <c r="K70" s="225"/>
      <c r="L70" s="220"/>
      <c r="M70" s="220"/>
      <c r="N70" s="220"/>
      <c r="O70" s="220"/>
      <c r="P70" s="220"/>
      <c r="Q70" s="220"/>
      <c r="R70" s="220"/>
      <c r="S70" s="220"/>
    </row>
    <row r="71" spans="1:19" ht="12.75" customHeight="1" x14ac:dyDescent="0.3">
      <c r="A71" s="217" t="s">
        <v>455</v>
      </c>
      <c r="B71" s="944" t="s">
        <v>456</v>
      </c>
      <c r="C71" s="944"/>
      <c r="D71" s="944"/>
      <c r="E71" s="944"/>
      <c r="F71" s="944"/>
      <c r="G71" s="944"/>
      <c r="H71" s="944"/>
      <c r="I71" s="944"/>
      <c r="J71" s="944"/>
      <c r="K71" s="944"/>
      <c r="L71" s="220"/>
      <c r="M71" s="220"/>
      <c r="N71" s="220"/>
      <c r="O71" s="220"/>
      <c r="P71" s="220"/>
      <c r="Q71" s="220"/>
      <c r="R71" s="220"/>
      <c r="S71" s="220"/>
    </row>
    <row r="72" spans="1:19" ht="12.75" customHeight="1" x14ac:dyDescent="0.3">
      <c r="A72" s="226" t="s">
        <v>457</v>
      </c>
      <c r="B72" s="903"/>
      <c r="C72" s="903"/>
      <c r="D72" s="903"/>
      <c r="E72" s="903"/>
      <c r="F72" s="903"/>
      <c r="G72" s="903"/>
      <c r="H72" s="903"/>
      <c r="I72" s="903"/>
      <c r="J72" s="903"/>
      <c r="K72" s="903"/>
      <c r="L72" s="220"/>
      <c r="M72" s="220"/>
      <c r="N72" s="220"/>
      <c r="O72" s="220"/>
      <c r="P72" s="220"/>
      <c r="Q72" s="220"/>
      <c r="R72" s="220"/>
      <c r="S72" s="220"/>
    </row>
    <row r="73" spans="1:19" ht="6" customHeight="1" x14ac:dyDescent="0.3">
      <c r="A73" s="221"/>
      <c r="B73" s="222"/>
      <c r="C73" s="222"/>
      <c r="D73" s="223"/>
      <c r="E73" s="223"/>
      <c r="F73" s="224"/>
      <c r="G73" s="224"/>
      <c r="H73" s="224"/>
      <c r="I73" s="224"/>
      <c r="J73" s="225"/>
      <c r="K73" s="225"/>
      <c r="L73" s="220"/>
      <c r="M73" s="220"/>
      <c r="N73" s="220"/>
      <c r="O73" s="220"/>
      <c r="P73" s="220"/>
      <c r="Q73" s="220"/>
      <c r="R73" s="220"/>
      <c r="S73" s="220"/>
    </row>
    <row r="74" spans="1:19" ht="12.75" customHeight="1" x14ac:dyDescent="0.3">
      <c r="A74" s="227" t="s">
        <v>458</v>
      </c>
      <c r="B74" s="914" t="s">
        <v>456</v>
      </c>
      <c r="C74" s="914"/>
      <c r="D74" s="914"/>
      <c r="E74" s="914"/>
      <c r="F74" s="914"/>
      <c r="G74" s="914"/>
      <c r="H74" s="914"/>
      <c r="I74" s="914"/>
      <c r="J74" s="914"/>
      <c r="K74" s="914"/>
    </row>
    <row r="75" spans="1:19" ht="12.75" customHeight="1" x14ac:dyDescent="0.3">
      <c r="A75" s="228" t="s">
        <v>457</v>
      </c>
      <c r="B75" s="946"/>
      <c r="C75" s="946"/>
      <c r="D75" s="946"/>
      <c r="E75" s="946"/>
      <c r="F75" s="946"/>
      <c r="G75" s="946"/>
      <c r="H75" s="946"/>
      <c r="I75" s="946"/>
      <c r="J75" s="946"/>
      <c r="K75" s="946"/>
    </row>
    <row r="76" spans="1:19" ht="6" customHeight="1" x14ac:dyDescent="0.3">
      <c r="A76" s="129"/>
      <c r="B76" s="229"/>
      <c r="C76" s="230"/>
      <c r="D76" s="230"/>
      <c r="E76" s="230"/>
      <c r="F76" s="230"/>
    </row>
    <row r="77" spans="1:19" ht="12.75" customHeight="1" x14ac:dyDescent="0.3">
      <c r="A77" s="922" t="s">
        <v>459</v>
      </c>
      <c r="B77" s="919" t="s">
        <v>460</v>
      </c>
      <c r="C77" s="919"/>
      <c r="D77" s="919"/>
      <c r="E77" s="919"/>
      <c r="F77" s="919"/>
      <c r="G77" s="919"/>
      <c r="H77" s="919"/>
      <c r="I77" s="919"/>
      <c r="J77" s="919"/>
      <c r="K77" s="919"/>
    </row>
    <row r="78" spans="1:19" ht="11.25" customHeight="1" x14ac:dyDescent="0.3">
      <c r="A78" s="922"/>
      <c r="B78" s="919"/>
      <c r="C78" s="919"/>
      <c r="D78" s="919"/>
      <c r="E78" s="919"/>
      <c r="F78" s="919"/>
      <c r="G78" s="919"/>
      <c r="H78" s="919"/>
      <c r="I78" s="919"/>
      <c r="J78" s="919"/>
      <c r="K78" s="919"/>
    </row>
    <row r="79" spans="1:19" ht="11.25" customHeight="1" x14ac:dyDescent="0.3">
      <c r="A79" s="922"/>
      <c r="B79" s="919"/>
      <c r="C79" s="919"/>
      <c r="D79" s="919"/>
      <c r="E79" s="919"/>
      <c r="F79" s="919"/>
      <c r="G79" s="919"/>
      <c r="H79" s="919"/>
      <c r="I79" s="919"/>
      <c r="J79" s="919"/>
      <c r="K79" s="919"/>
    </row>
    <row r="80" spans="1:19" ht="12.75" customHeight="1" x14ac:dyDescent="0.3">
      <c r="A80" s="231" t="s">
        <v>461</v>
      </c>
      <c r="B80" s="947"/>
      <c r="C80" s="947"/>
      <c r="D80" s="947"/>
      <c r="E80" s="947"/>
      <c r="F80" s="947"/>
      <c r="G80" s="947"/>
      <c r="H80" s="947"/>
      <c r="I80" s="947"/>
      <c r="J80" s="947"/>
      <c r="K80" s="947"/>
    </row>
    <row r="81" spans="1:11" ht="12.75" customHeight="1" x14ac:dyDescent="0.3">
      <c r="A81" s="231" t="s">
        <v>462</v>
      </c>
      <c r="B81" s="948"/>
      <c r="C81" s="948"/>
      <c r="D81" s="948"/>
      <c r="E81" s="948"/>
      <c r="F81" s="948"/>
      <c r="G81" s="948"/>
      <c r="H81" s="948"/>
      <c r="I81" s="948"/>
      <c r="J81" s="948"/>
      <c r="K81" s="948"/>
    </row>
    <row r="82" spans="1:11" ht="12.75" customHeight="1" x14ac:dyDescent="0.3">
      <c r="A82" s="231" t="s">
        <v>463</v>
      </c>
      <c r="B82" s="948"/>
      <c r="C82" s="948"/>
      <c r="D82" s="948"/>
      <c r="E82" s="948"/>
      <c r="F82" s="948"/>
      <c r="G82" s="948"/>
      <c r="H82" s="948"/>
      <c r="I82" s="948"/>
      <c r="J82" s="948"/>
      <c r="K82" s="948"/>
    </row>
    <row r="83" spans="1:11" ht="12.75" customHeight="1" x14ac:dyDescent="0.3">
      <c r="A83" s="232" t="s">
        <v>464</v>
      </c>
      <c r="B83" s="949"/>
      <c r="C83" s="949"/>
      <c r="D83" s="949"/>
      <c r="E83" s="949"/>
      <c r="F83" s="949"/>
      <c r="G83" s="949"/>
      <c r="H83" s="949"/>
      <c r="I83" s="949"/>
      <c r="J83" s="949"/>
      <c r="K83" s="949"/>
    </row>
    <row r="84" spans="1:11" ht="6" customHeight="1" x14ac:dyDescent="0.3">
      <c r="A84" s="233"/>
      <c r="B84" s="233"/>
      <c r="C84" s="233"/>
      <c r="D84" s="233"/>
      <c r="E84" s="233"/>
      <c r="F84" s="233"/>
      <c r="G84" s="129"/>
    </row>
    <row r="85" spans="1:11" ht="12.75" customHeight="1" x14ac:dyDescent="0.3">
      <c r="A85" s="950" t="s">
        <v>465</v>
      </c>
      <c r="B85" s="951" t="s">
        <v>466</v>
      </c>
      <c r="C85" s="951"/>
      <c r="D85" s="951"/>
      <c r="E85" s="951"/>
      <c r="F85" s="951"/>
      <c r="G85" s="951"/>
      <c r="H85" s="951"/>
      <c r="I85" s="951"/>
      <c r="J85" s="951"/>
      <c r="K85" s="951"/>
    </row>
    <row r="86" spans="1:11" ht="12.75" customHeight="1" x14ac:dyDescent="0.3">
      <c r="A86" s="950"/>
      <c r="B86" s="931" t="str">
        <f>+F51</f>
        <v>2018</v>
      </c>
      <c r="C86" s="931"/>
      <c r="D86" s="931"/>
      <c r="E86" s="931"/>
      <c r="F86" s="931"/>
      <c r="G86" s="931"/>
      <c r="H86" s="931">
        <f>+G51</f>
        <v>2017</v>
      </c>
      <c r="I86" s="931"/>
      <c r="J86" s="931"/>
      <c r="K86" s="931"/>
    </row>
    <row r="87" spans="1:11" ht="12.75" customHeight="1" x14ac:dyDescent="0.3">
      <c r="A87" s="234" t="s">
        <v>467</v>
      </c>
      <c r="B87" s="952"/>
      <c r="C87" s="952"/>
      <c r="D87" s="952"/>
      <c r="E87" s="952"/>
      <c r="F87" s="952"/>
      <c r="G87" s="952"/>
      <c r="H87" s="953"/>
      <c r="I87" s="953"/>
      <c r="J87" s="953"/>
      <c r="K87" s="953"/>
    </row>
    <row r="88" spans="1:11" ht="12.75" customHeight="1" x14ac:dyDescent="0.3">
      <c r="A88" s="235" t="s">
        <v>468</v>
      </c>
      <c r="B88" s="937"/>
      <c r="C88" s="937"/>
      <c r="D88" s="937"/>
      <c r="E88" s="937"/>
      <c r="F88" s="937"/>
      <c r="G88" s="937"/>
      <c r="H88" s="954"/>
      <c r="I88" s="954"/>
      <c r="J88" s="954"/>
      <c r="K88" s="954"/>
    </row>
    <row r="89" spans="1:11" ht="12.75" customHeight="1" x14ac:dyDescent="0.3">
      <c r="A89" s="236" t="s">
        <v>469</v>
      </c>
      <c r="B89" s="955"/>
      <c r="C89" s="955"/>
      <c r="D89" s="955"/>
      <c r="E89" s="955"/>
      <c r="F89" s="955"/>
      <c r="G89" s="955"/>
      <c r="H89" s="956"/>
      <c r="I89" s="956"/>
      <c r="J89" s="956"/>
      <c r="K89" s="956"/>
    </row>
    <row r="90" spans="1:11" s="129" customFormat="1" ht="6" customHeight="1" x14ac:dyDescent="0.3">
      <c r="A90" s="237"/>
      <c r="B90" s="238"/>
      <c r="C90" s="238"/>
      <c r="D90" s="26"/>
      <c r="E90" s="26"/>
      <c r="F90" s="26"/>
    </row>
    <row r="91" spans="1:11" ht="15.75" customHeight="1" x14ac:dyDescent="0.3">
      <c r="A91" s="957" t="s">
        <v>470</v>
      </c>
      <c r="B91" s="957"/>
      <c r="C91" s="957"/>
      <c r="D91" s="957"/>
      <c r="E91" s="957"/>
      <c r="F91" s="957"/>
      <c r="G91" s="957"/>
      <c r="H91" s="957"/>
      <c r="I91" s="957"/>
      <c r="J91" s="957"/>
      <c r="K91" s="957"/>
    </row>
    <row r="92" spans="1:11" ht="12.75" customHeight="1" x14ac:dyDescent="0.3">
      <c r="A92" s="958" t="s">
        <v>471</v>
      </c>
      <c r="B92" s="959" t="s">
        <v>33</v>
      </c>
      <c r="C92" s="959"/>
      <c r="D92" s="959"/>
      <c r="E92" s="959"/>
      <c r="F92" s="933" t="s">
        <v>34</v>
      </c>
      <c r="G92" s="933"/>
      <c r="H92" s="933" t="s">
        <v>35</v>
      </c>
      <c r="I92" s="933"/>
      <c r="J92" s="933"/>
      <c r="K92" s="933"/>
    </row>
    <row r="93" spans="1:11" ht="12.75" customHeight="1" x14ac:dyDescent="0.3">
      <c r="A93" s="958"/>
      <c r="B93" s="959"/>
      <c r="C93" s="959"/>
      <c r="D93" s="959"/>
      <c r="E93" s="959"/>
      <c r="F93" s="933"/>
      <c r="G93" s="933"/>
      <c r="H93" s="923" t="s">
        <v>411</v>
      </c>
      <c r="I93" s="923"/>
      <c r="J93" s="923" t="s">
        <v>411</v>
      </c>
      <c r="K93" s="923"/>
    </row>
    <row r="94" spans="1:11" ht="12.75" customHeight="1" x14ac:dyDescent="0.3">
      <c r="A94" s="958"/>
      <c r="B94" s="959"/>
      <c r="C94" s="959"/>
      <c r="D94" s="959"/>
      <c r="E94" s="959"/>
      <c r="F94" s="933"/>
      <c r="G94" s="933"/>
      <c r="H94" s="933" t="str">
        <f>+F51</f>
        <v>2018</v>
      </c>
      <c r="I94" s="933"/>
      <c r="J94" s="960">
        <f>+G51</f>
        <v>2017</v>
      </c>
      <c r="K94" s="960"/>
    </row>
    <row r="95" spans="1:11" ht="12.75" customHeight="1" x14ac:dyDescent="0.3">
      <c r="A95" s="239" t="s">
        <v>472</v>
      </c>
      <c r="B95" s="961">
        <f>+B96+B105+B115+B119+B120</f>
        <v>0</v>
      </c>
      <c r="C95" s="961"/>
      <c r="D95" s="961"/>
      <c r="E95" s="961"/>
      <c r="F95" s="961">
        <f>+F96+F105+F115+F119+F120</f>
        <v>0</v>
      </c>
      <c r="G95" s="961"/>
      <c r="H95" s="961">
        <f>+H96+H105+H115+H119+H120</f>
        <v>0</v>
      </c>
      <c r="I95" s="961"/>
      <c r="J95" s="961">
        <f>+J96+J105+J115+J119+J120</f>
        <v>0</v>
      </c>
      <c r="K95" s="961"/>
    </row>
    <row r="96" spans="1:11" ht="12.75" customHeight="1" x14ac:dyDescent="0.3">
      <c r="A96" s="192" t="s">
        <v>473</v>
      </c>
      <c r="B96" s="935">
        <f>+B97+B101</f>
        <v>0</v>
      </c>
      <c r="C96" s="935"/>
      <c r="D96" s="935"/>
      <c r="E96" s="935"/>
      <c r="F96" s="935">
        <f>+F97+F101</f>
        <v>0</v>
      </c>
      <c r="G96" s="935"/>
      <c r="H96" s="935">
        <f>+H97+H101</f>
        <v>0</v>
      </c>
      <c r="I96" s="935"/>
      <c r="J96" s="935">
        <f>+J97+J101</f>
        <v>0</v>
      </c>
      <c r="K96" s="935"/>
    </row>
    <row r="97" spans="1:11" ht="12.75" customHeight="1" x14ac:dyDescent="0.3">
      <c r="A97" s="193" t="s">
        <v>474</v>
      </c>
      <c r="B97" s="936">
        <f>SUM(B98:E100)</f>
        <v>0</v>
      </c>
      <c r="C97" s="936"/>
      <c r="D97" s="936"/>
      <c r="E97" s="936"/>
      <c r="F97" s="936">
        <f>SUM(F98:G100)</f>
        <v>0</v>
      </c>
      <c r="G97" s="936"/>
      <c r="H97" s="936">
        <f>SUM(H98:I100)</f>
        <v>0</v>
      </c>
      <c r="I97" s="936"/>
      <c r="J97" s="936">
        <f>SUM(J98:K100)</f>
        <v>0</v>
      </c>
      <c r="K97" s="936"/>
    </row>
    <row r="98" spans="1:11" ht="12.75" customHeight="1" x14ac:dyDescent="0.3">
      <c r="A98" s="146" t="s">
        <v>475</v>
      </c>
      <c r="B98" s="937"/>
      <c r="C98" s="937"/>
      <c r="D98" s="937"/>
      <c r="E98" s="937"/>
      <c r="F98" s="937"/>
      <c r="G98" s="937"/>
      <c r="H98" s="892"/>
      <c r="I98" s="892"/>
      <c r="J98" s="892"/>
      <c r="K98" s="892"/>
    </row>
    <row r="99" spans="1:11" ht="12.75" customHeight="1" x14ac:dyDescent="0.3">
      <c r="A99" s="146" t="s">
        <v>476</v>
      </c>
      <c r="B99" s="937"/>
      <c r="C99" s="937"/>
      <c r="D99" s="937"/>
      <c r="E99" s="937"/>
      <c r="F99" s="937"/>
      <c r="G99" s="937"/>
      <c r="H99" s="892"/>
      <c r="I99" s="892"/>
      <c r="J99" s="892"/>
      <c r="K99" s="892"/>
    </row>
    <row r="100" spans="1:11" ht="12.75" customHeight="1" x14ac:dyDescent="0.3">
      <c r="A100" s="146" t="s">
        <v>477</v>
      </c>
      <c r="B100" s="937"/>
      <c r="C100" s="937"/>
      <c r="D100" s="937"/>
      <c r="E100" s="937"/>
      <c r="F100" s="937"/>
      <c r="G100" s="937"/>
      <c r="H100" s="892"/>
      <c r="I100" s="892"/>
      <c r="J100" s="892"/>
      <c r="K100" s="892"/>
    </row>
    <row r="101" spans="1:11" ht="12.75" customHeight="1" x14ac:dyDescent="0.3">
      <c r="A101" s="193" t="s">
        <v>478</v>
      </c>
      <c r="B101" s="936">
        <f>SUM(B102:E104)</f>
        <v>0</v>
      </c>
      <c r="C101" s="936"/>
      <c r="D101" s="936"/>
      <c r="E101" s="936"/>
      <c r="F101" s="936">
        <f>SUM(F102:G104)</f>
        <v>0</v>
      </c>
      <c r="G101" s="936"/>
      <c r="H101" s="936">
        <f>SUM(H102:I104)</f>
        <v>0</v>
      </c>
      <c r="I101" s="936"/>
      <c r="J101" s="936">
        <f>SUM(J102:K104)</f>
        <v>0</v>
      </c>
      <c r="K101" s="936"/>
    </row>
    <row r="102" spans="1:11" ht="12.75" customHeight="1" x14ac:dyDescent="0.3">
      <c r="A102" s="146" t="s">
        <v>475</v>
      </c>
      <c r="B102" s="937"/>
      <c r="C102" s="937"/>
      <c r="D102" s="937"/>
      <c r="E102" s="937"/>
      <c r="F102" s="937"/>
      <c r="G102" s="937"/>
      <c r="H102" s="892"/>
      <c r="I102" s="892"/>
      <c r="J102" s="892"/>
      <c r="K102" s="892"/>
    </row>
    <row r="103" spans="1:11" ht="12.75" customHeight="1" x14ac:dyDescent="0.3">
      <c r="A103" s="146" t="s">
        <v>476</v>
      </c>
      <c r="B103" s="937"/>
      <c r="C103" s="937"/>
      <c r="D103" s="937"/>
      <c r="E103" s="937"/>
      <c r="F103" s="937"/>
      <c r="G103" s="937"/>
      <c r="H103" s="892"/>
      <c r="I103" s="892"/>
      <c r="J103" s="892"/>
      <c r="K103" s="892"/>
    </row>
    <row r="104" spans="1:11" ht="12.75" customHeight="1" x14ac:dyDescent="0.3">
      <c r="A104" s="146" t="s">
        <v>477</v>
      </c>
      <c r="B104" s="937"/>
      <c r="C104" s="937"/>
      <c r="D104" s="937"/>
      <c r="E104" s="937"/>
      <c r="F104" s="937"/>
      <c r="G104" s="937"/>
      <c r="H104" s="892"/>
      <c r="I104" s="892"/>
      <c r="J104" s="892"/>
      <c r="K104" s="892"/>
    </row>
    <row r="105" spans="1:11" ht="12.75" customHeight="1" x14ac:dyDescent="0.3">
      <c r="A105" s="192" t="s">
        <v>479</v>
      </c>
      <c r="B105" s="935">
        <f>+B106+B110+B114</f>
        <v>0</v>
      </c>
      <c r="C105" s="935"/>
      <c r="D105" s="935"/>
      <c r="E105" s="935"/>
      <c r="F105" s="935">
        <f>+F106+F110+F114</f>
        <v>0</v>
      </c>
      <c r="G105" s="935"/>
      <c r="H105" s="935">
        <f>+H106+H110+H114</f>
        <v>0</v>
      </c>
      <c r="I105" s="935"/>
      <c r="J105" s="935">
        <f>+J106+J110+J114</f>
        <v>0</v>
      </c>
      <c r="K105" s="935"/>
    </row>
    <row r="106" spans="1:11" ht="12.75" customHeight="1" x14ac:dyDescent="0.3">
      <c r="A106" s="193" t="s">
        <v>474</v>
      </c>
      <c r="B106" s="936">
        <f>SUM(B107:E109)</f>
        <v>0</v>
      </c>
      <c r="C106" s="936"/>
      <c r="D106" s="936"/>
      <c r="E106" s="936"/>
      <c r="F106" s="936">
        <f>SUM(F107:G109)</f>
        <v>0</v>
      </c>
      <c r="G106" s="936"/>
      <c r="H106" s="936">
        <f>SUM(H107:I109)</f>
        <v>0</v>
      </c>
      <c r="I106" s="936"/>
      <c r="J106" s="936">
        <f>SUM(J107:K109)</f>
        <v>0</v>
      </c>
      <c r="K106" s="936"/>
    </row>
    <row r="107" spans="1:11" ht="12.75" customHeight="1" x14ac:dyDescent="0.3">
      <c r="A107" s="146" t="s">
        <v>475</v>
      </c>
      <c r="B107" s="937"/>
      <c r="C107" s="937"/>
      <c r="D107" s="937"/>
      <c r="E107" s="937"/>
      <c r="F107" s="937"/>
      <c r="G107" s="937"/>
      <c r="H107" s="892"/>
      <c r="I107" s="892"/>
      <c r="J107" s="892"/>
      <c r="K107" s="892"/>
    </row>
    <row r="108" spans="1:11" ht="12.75" customHeight="1" x14ac:dyDescent="0.3">
      <c r="A108" s="146" t="s">
        <v>476</v>
      </c>
      <c r="B108" s="937"/>
      <c r="C108" s="937"/>
      <c r="D108" s="937"/>
      <c r="E108" s="937"/>
      <c r="F108" s="937"/>
      <c r="G108" s="937"/>
      <c r="H108" s="892"/>
      <c r="I108" s="892"/>
      <c r="J108" s="892"/>
      <c r="K108" s="892"/>
    </row>
    <row r="109" spans="1:11" ht="12.75" customHeight="1" x14ac:dyDescent="0.3">
      <c r="A109" s="146" t="s">
        <v>477</v>
      </c>
      <c r="B109" s="937"/>
      <c r="C109" s="937"/>
      <c r="D109" s="937"/>
      <c r="E109" s="937"/>
      <c r="F109" s="937"/>
      <c r="G109" s="937"/>
      <c r="H109" s="892"/>
      <c r="I109" s="892"/>
      <c r="J109" s="892"/>
      <c r="K109" s="892"/>
    </row>
    <row r="110" spans="1:11" ht="12.75" customHeight="1" x14ac:dyDescent="0.3">
      <c r="A110" s="193" t="s">
        <v>478</v>
      </c>
      <c r="B110" s="936">
        <f>SUM(B111:E113)</f>
        <v>0</v>
      </c>
      <c r="C110" s="936"/>
      <c r="D110" s="936"/>
      <c r="E110" s="936"/>
      <c r="F110" s="936">
        <f>SUM(F111:G113)</f>
        <v>0</v>
      </c>
      <c r="G110" s="936"/>
      <c r="H110" s="936">
        <f>SUM(H111:I113)</f>
        <v>0</v>
      </c>
      <c r="I110" s="936"/>
      <c r="J110" s="936">
        <f>SUM(J111:K113)</f>
        <v>0</v>
      </c>
      <c r="K110" s="936"/>
    </row>
    <row r="111" spans="1:11" ht="12.75" customHeight="1" x14ac:dyDescent="0.3">
      <c r="A111" s="146" t="s">
        <v>475</v>
      </c>
      <c r="B111" s="937"/>
      <c r="C111" s="937"/>
      <c r="D111" s="937"/>
      <c r="E111" s="937"/>
      <c r="F111" s="937"/>
      <c r="G111" s="937"/>
      <c r="H111" s="892"/>
      <c r="I111" s="892"/>
      <c r="J111" s="892"/>
      <c r="K111" s="892"/>
    </row>
    <row r="112" spans="1:11" ht="12.75" customHeight="1" x14ac:dyDescent="0.3">
      <c r="A112" s="146" t="s">
        <v>476</v>
      </c>
      <c r="B112" s="937"/>
      <c r="C112" s="937"/>
      <c r="D112" s="937"/>
      <c r="E112" s="937"/>
      <c r="F112" s="937"/>
      <c r="G112" s="937"/>
      <c r="H112" s="892"/>
      <c r="I112" s="892"/>
      <c r="J112" s="892"/>
      <c r="K112" s="892"/>
    </row>
    <row r="113" spans="1:11" ht="12.75" customHeight="1" x14ac:dyDescent="0.3">
      <c r="A113" s="146" t="s">
        <v>477</v>
      </c>
      <c r="B113" s="937">
        <v>0</v>
      </c>
      <c r="C113" s="937"/>
      <c r="D113" s="937"/>
      <c r="E113" s="937"/>
      <c r="F113" s="937">
        <v>0</v>
      </c>
      <c r="G113" s="937"/>
      <c r="H113" s="892">
        <v>0</v>
      </c>
      <c r="I113" s="892"/>
      <c r="J113" s="892">
        <v>0</v>
      </c>
      <c r="K113" s="892"/>
    </row>
    <row r="114" spans="1:11" ht="12.75" customHeight="1" x14ac:dyDescent="0.3">
      <c r="A114" s="193" t="s">
        <v>480</v>
      </c>
      <c r="B114" s="962">
        <v>0</v>
      </c>
      <c r="C114" s="962"/>
      <c r="D114" s="962"/>
      <c r="E114" s="962"/>
      <c r="F114" s="962">
        <v>0</v>
      </c>
      <c r="G114" s="962"/>
      <c r="H114" s="962">
        <v>0</v>
      </c>
      <c r="I114" s="962"/>
      <c r="J114" s="962">
        <v>0</v>
      </c>
      <c r="K114" s="962"/>
    </row>
    <row r="115" spans="1:11" ht="12.75" customHeight="1" x14ac:dyDescent="0.3">
      <c r="A115" s="192" t="s">
        <v>481</v>
      </c>
      <c r="B115" s="935">
        <f>SUM(B116:E118)</f>
        <v>0</v>
      </c>
      <c r="C115" s="935"/>
      <c r="D115" s="935"/>
      <c r="E115" s="935"/>
      <c r="F115" s="935">
        <f>SUM(F116:G118)</f>
        <v>0</v>
      </c>
      <c r="G115" s="935"/>
      <c r="H115" s="935">
        <f>SUM(H116:I118)</f>
        <v>0</v>
      </c>
      <c r="I115" s="935"/>
      <c r="J115" s="935">
        <f>SUM(J116:K118)</f>
        <v>0</v>
      </c>
      <c r="K115" s="935"/>
    </row>
    <row r="116" spans="1:11" ht="12.75" customHeight="1" x14ac:dyDescent="0.3">
      <c r="A116" s="146" t="s">
        <v>482</v>
      </c>
      <c r="B116" s="937"/>
      <c r="C116" s="937"/>
      <c r="D116" s="937"/>
      <c r="E116" s="937"/>
      <c r="F116" s="937"/>
      <c r="G116" s="937"/>
      <c r="H116" s="892"/>
      <c r="I116" s="892"/>
      <c r="J116" s="892"/>
      <c r="K116" s="892"/>
    </row>
    <row r="117" spans="1:11" ht="12.75" customHeight="1" x14ac:dyDescent="0.3">
      <c r="A117" s="146" t="s">
        <v>483</v>
      </c>
      <c r="B117" s="937"/>
      <c r="C117" s="937"/>
      <c r="D117" s="937"/>
      <c r="E117" s="937"/>
      <c r="F117" s="937"/>
      <c r="G117" s="937"/>
      <c r="H117" s="892"/>
      <c r="I117" s="892"/>
      <c r="J117" s="892"/>
      <c r="K117" s="892"/>
    </row>
    <row r="118" spans="1:11" ht="12.75" customHeight="1" x14ac:dyDescent="0.3">
      <c r="A118" s="146" t="s">
        <v>484</v>
      </c>
      <c r="B118" s="937"/>
      <c r="C118" s="937"/>
      <c r="D118" s="937"/>
      <c r="E118" s="937"/>
      <c r="F118" s="937"/>
      <c r="G118" s="937"/>
      <c r="H118" s="892"/>
      <c r="I118" s="892"/>
      <c r="J118" s="892"/>
      <c r="K118" s="892"/>
    </row>
    <row r="119" spans="1:11" ht="12.75" customHeight="1" x14ac:dyDescent="0.3">
      <c r="A119" s="192" t="s">
        <v>485</v>
      </c>
      <c r="B119" s="937"/>
      <c r="C119" s="937"/>
      <c r="D119" s="937"/>
      <c r="E119" s="937"/>
      <c r="F119" s="937"/>
      <c r="G119" s="937"/>
      <c r="H119" s="937"/>
      <c r="I119" s="937"/>
      <c r="J119" s="937"/>
      <c r="K119" s="937"/>
    </row>
    <row r="120" spans="1:11" ht="12.75" customHeight="1" x14ac:dyDescent="0.3">
      <c r="A120" s="192" t="s">
        <v>400</v>
      </c>
      <c r="B120" s="935">
        <f>SUM(B121:E122)</f>
        <v>0</v>
      </c>
      <c r="C120" s="935"/>
      <c r="D120" s="935"/>
      <c r="E120" s="935"/>
      <c r="F120" s="935">
        <f>SUM(F121:G122)</f>
        <v>0</v>
      </c>
      <c r="G120" s="935"/>
      <c r="H120" s="935">
        <f>SUM(H121:I122)</f>
        <v>0</v>
      </c>
      <c r="I120" s="935"/>
      <c r="J120" s="935">
        <f>SUM(J121:K122)</f>
        <v>0</v>
      </c>
      <c r="K120" s="935"/>
    </row>
    <row r="121" spans="1:11" ht="12.75" customHeight="1" x14ac:dyDescent="0.3">
      <c r="A121" s="146" t="s">
        <v>486</v>
      </c>
      <c r="B121" s="937"/>
      <c r="C121" s="937"/>
      <c r="D121" s="937"/>
      <c r="E121" s="937"/>
      <c r="F121" s="937"/>
      <c r="G121" s="937"/>
      <c r="H121" s="892"/>
      <c r="I121" s="892"/>
      <c r="J121" s="892"/>
      <c r="K121" s="892"/>
    </row>
    <row r="122" spans="1:11" ht="12.75" customHeight="1" x14ac:dyDescent="0.3">
      <c r="A122" s="146" t="s">
        <v>487</v>
      </c>
      <c r="B122" s="937"/>
      <c r="C122" s="937"/>
      <c r="D122" s="937"/>
      <c r="E122" s="937"/>
      <c r="F122" s="937"/>
      <c r="G122" s="937"/>
      <c r="H122" s="892"/>
      <c r="I122" s="892"/>
      <c r="J122" s="892"/>
      <c r="K122" s="892"/>
    </row>
    <row r="123" spans="1:11" ht="12.75" customHeight="1" x14ac:dyDescent="0.3">
      <c r="A123" s="145" t="s">
        <v>488</v>
      </c>
      <c r="B123" s="961">
        <f>SUM(B124:E126)</f>
        <v>0</v>
      </c>
      <c r="C123" s="961"/>
      <c r="D123" s="961"/>
      <c r="E123" s="961"/>
      <c r="F123" s="961">
        <f>SUM(F124:G126)</f>
        <v>0</v>
      </c>
      <c r="G123" s="961"/>
      <c r="H123" s="961">
        <f>SUM(H124:I126)</f>
        <v>0</v>
      </c>
      <c r="I123" s="961"/>
      <c r="J123" s="961">
        <f>SUM(J124:K126)</f>
        <v>0</v>
      </c>
      <c r="K123" s="961"/>
    </row>
    <row r="124" spans="1:11" ht="12.75" customHeight="1" x14ac:dyDescent="0.3">
      <c r="A124" s="146" t="s">
        <v>489</v>
      </c>
      <c r="B124" s="937"/>
      <c r="C124" s="937"/>
      <c r="D124" s="937"/>
      <c r="E124" s="937"/>
      <c r="F124" s="937"/>
      <c r="G124" s="937"/>
      <c r="H124" s="892"/>
      <c r="I124" s="892"/>
      <c r="J124" s="892"/>
      <c r="K124" s="892"/>
    </row>
    <row r="125" spans="1:11" ht="12.75" customHeight="1" x14ac:dyDescent="0.3">
      <c r="A125" s="146" t="s">
        <v>490</v>
      </c>
      <c r="B125" s="937"/>
      <c r="C125" s="937"/>
      <c r="D125" s="937"/>
      <c r="E125" s="937"/>
      <c r="F125" s="937"/>
      <c r="G125" s="937"/>
      <c r="H125" s="892"/>
      <c r="I125" s="892"/>
      <c r="J125" s="892"/>
      <c r="K125" s="892"/>
    </row>
    <row r="126" spans="1:11" ht="12.75" customHeight="1" x14ac:dyDescent="0.3">
      <c r="A126" s="146" t="s">
        <v>491</v>
      </c>
      <c r="B126" s="937"/>
      <c r="C126" s="937"/>
      <c r="D126" s="937"/>
      <c r="E126" s="937"/>
      <c r="F126" s="937"/>
      <c r="G126" s="937"/>
      <c r="H126" s="892"/>
      <c r="I126" s="892"/>
      <c r="J126" s="892"/>
      <c r="K126" s="892"/>
    </row>
    <row r="127" spans="1:11" ht="14.65" customHeight="1" x14ac:dyDescent="0.3">
      <c r="A127" s="240" t="s">
        <v>492</v>
      </c>
      <c r="B127" s="963">
        <f>+B95+B123</f>
        <v>0</v>
      </c>
      <c r="C127" s="963"/>
      <c r="D127" s="963"/>
      <c r="E127" s="963"/>
      <c r="F127" s="963">
        <f>+F95+F123</f>
        <v>0</v>
      </c>
      <c r="G127" s="963"/>
      <c r="H127" s="963">
        <f>+H95+H123</f>
        <v>0</v>
      </c>
      <c r="I127" s="963"/>
      <c r="J127" s="963">
        <f>+J95+J123</f>
        <v>0</v>
      </c>
      <c r="K127" s="963"/>
    </row>
    <row r="128" spans="1:11" ht="6" customHeight="1" x14ac:dyDescent="0.3">
      <c r="A128" s="26"/>
      <c r="B128" s="20"/>
      <c r="C128" s="20"/>
      <c r="D128" s="241"/>
      <c r="E128" s="241"/>
      <c r="F128" s="241"/>
    </row>
    <row r="129" spans="1:11" ht="24.75" customHeight="1" x14ac:dyDescent="0.3">
      <c r="A129" s="964" t="s">
        <v>438</v>
      </c>
      <c r="B129" s="931" t="s">
        <v>124</v>
      </c>
      <c r="C129" s="931"/>
      <c r="D129" s="965" t="s">
        <v>125</v>
      </c>
      <c r="E129" s="965"/>
      <c r="F129" s="931" t="s">
        <v>126</v>
      </c>
      <c r="G129" s="931"/>
      <c r="H129" s="931" t="s">
        <v>127</v>
      </c>
      <c r="I129" s="931"/>
      <c r="J129" s="931" t="s">
        <v>195</v>
      </c>
      <c r="K129" s="931"/>
    </row>
    <row r="130" spans="1:11" ht="12.75" customHeight="1" x14ac:dyDescent="0.3">
      <c r="A130" s="964"/>
      <c r="B130" s="931"/>
      <c r="C130" s="931"/>
      <c r="D130" s="965"/>
      <c r="E130" s="965"/>
      <c r="F130" s="196" t="s">
        <v>411</v>
      </c>
      <c r="G130" s="196" t="s">
        <v>411</v>
      </c>
      <c r="H130" s="196" t="s">
        <v>411</v>
      </c>
      <c r="I130" s="196" t="s">
        <v>411</v>
      </c>
      <c r="J130" s="197" t="s">
        <v>439</v>
      </c>
      <c r="K130" s="197" t="s">
        <v>439</v>
      </c>
    </row>
    <row r="131" spans="1:11" ht="25.5" customHeight="1" x14ac:dyDescent="0.3">
      <c r="A131" s="964"/>
      <c r="B131" s="931"/>
      <c r="C131" s="931"/>
      <c r="D131" s="965"/>
      <c r="E131" s="965"/>
      <c r="F131" s="198" t="str">
        <f>+H$12</f>
        <v>2018</v>
      </c>
      <c r="G131" s="198">
        <f>+J$12</f>
        <v>2017</v>
      </c>
      <c r="H131" s="198" t="str">
        <f>+F131</f>
        <v>2018</v>
      </c>
      <c r="I131" s="198">
        <f>G131</f>
        <v>2017</v>
      </c>
      <c r="J131" s="189" t="str">
        <f>+F131</f>
        <v>2018</v>
      </c>
      <c r="K131" s="189">
        <f>I131</f>
        <v>2017</v>
      </c>
    </row>
    <row r="132" spans="1:11" ht="12.75" customHeight="1" x14ac:dyDescent="0.3">
      <c r="A132" s="242" t="s">
        <v>493</v>
      </c>
      <c r="B132" s="966">
        <f>SUM(B133:C134)</f>
        <v>0</v>
      </c>
      <c r="C132" s="966"/>
      <c r="D132" s="966">
        <f>SUM(D133:E134)</f>
        <v>0</v>
      </c>
      <c r="E132" s="966"/>
      <c r="F132" s="243">
        <f t="shared" ref="F132:K132" si="6">SUM(F133:F134)</f>
        <v>0</v>
      </c>
      <c r="G132" s="243">
        <f t="shared" si="6"/>
        <v>0</v>
      </c>
      <c r="H132" s="243">
        <f t="shared" si="6"/>
        <v>0</v>
      </c>
      <c r="I132" s="243">
        <f t="shared" si="6"/>
        <v>0</v>
      </c>
      <c r="J132" s="243">
        <f t="shared" si="6"/>
        <v>0</v>
      </c>
      <c r="K132" s="244">
        <f t="shared" si="6"/>
        <v>0</v>
      </c>
    </row>
    <row r="133" spans="1:11" ht="12.75" customHeight="1" x14ac:dyDescent="0.3">
      <c r="A133" s="245" t="s">
        <v>494</v>
      </c>
      <c r="B133" s="892"/>
      <c r="C133" s="892"/>
      <c r="D133" s="892"/>
      <c r="E133" s="892"/>
      <c r="F133" s="210"/>
      <c r="G133" s="94"/>
      <c r="H133" s="94"/>
      <c r="I133" s="94"/>
      <c r="J133" s="94"/>
      <c r="K133" s="246"/>
    </row>
    <row r="134" spans="1:11" ht="12.75" customHeight="1" x14ac:dyDescent="0.3">
      <c r="A134" s="245" t="s">
        <v>495</v>
      </c>
      <c r="B134" s="892"/>
      <c r="C134" s="892"/>
      <c r="D134" s="892"/>
      <c r="E134" s="892"/>
      <c r="F134" s="210"/>
      <c r="G134" s="94"/>
      <c r="H134" s="94"/>
      <c r="I134" s="94"/>
      <c r="J134" s="94"/>
      <c r="K134" s="246"/>
    </row>
    <row r="135" spans="1:11" ht="12.75" customHeight="1" x14ac:dyDescent="0.3">
      <c r="A135" s="247" t="s">
        <v>496</v>
      </c>
      <c r="B135" s="967">
        <f>+B136+B140+B144</f>
        <v>0</v>
      </c>
      <c r="C135" s="967"/>
      <c r="D135" s="967">
        <f>+D136+D140+D144</f>
        <v>0</v>
      </c>
      <c r="E135" s="967"/>
      <c r="F135" s="243">
        <f t="shared" ref="F135:K135" si="7">+F136+F140+F144</f>
        <v>0</v>
      </c>
      <c r="G135" s="243">
        <f t="shared" si="7"/>
        <v>0</v>
      </c>
      <c r="H135" s="243">
        <f t="shared" si="7"/>
        <v>0</v>
      </c>
      <c r="I135" s="243">
        <f t="shared" si="7"/>
        <v>0</v>
      </c>
      <c r="J135" s="243">
        <f t="shared" si="7"/>
        <v>0</v>
      </c>
      <c r="K135" s="248">
        <f t="shared" si="7"/>
        <v>0</v>
      </c>
    </row>
    <row r="136" spans="1:11" ht="12.75" customHeight="1" x14ac:dyDescent="0.3">
      <c r="A136" s="245" t="s">
        <v>497</v>
      </c>
      <c r="B136" s="967">
        <f>+B137+B138+B139</f>
        <v>0</v>
      </c>
      <c r="C136" s="967"/>
      <c r="D136" s="967">
        <f>+D137+D138+D139</f>
        <v>0</v>
      </c>
      <c r="E136" s="967"/>
      <c r="F136" s="243">
        <f t="shared" ref="F136:K136" si="8">SUM(F137:F139)</f>
        <v>0</v>
      </c>
      <c r="G136" s="243">
        <f t="shared" si="8"/>
        <v>0</v>
      </c>
      <c r="H136" s="243">
        <f t="shared" si="8"/>
        <v>0</v>
      </c>
      <c r="I136" s="243">
        <f t="shared" si="8"/>
        <v>0</v>
      </c>
      <c r="J136" s="243">
        <f t="shared" si="8"/>
        <v>0</v>
      </c>
      <c r="K136" s="248">
        <f t="shared" si="8"/>
        <v>0</v>
      </c>
    </row>
    <row r="137" spans="1:11" ht="12.75" customHeight="1" x14ac:dyDescent="0.3">
      <c r="A137" s="245" t="s">
        <v>498</v>
      </c>
      <c r="B137" s="892"/>
      <c r="C137" s="892"/>
      <c r="D137" s="892"/>
      <c r="E137" s="892"/>
      <c r="F137" s="210"/>
      <c r="G137" s="210"/>
      <c r="H137" s="210"/>
      <c r="I137" s="210"/>
      <c r="J137" s="210"/>
      <c r="K137" s="204"/>
    </row>
    <row r="138" spans="1:11" ht="12.75" customHeight="1" x14ac:dyDescent="0.3">
      <c r="A138" s="245" t="s">
        <v>499</v>
      </c>
      <c r="B138" s="892"/>
      <c r="C138" s="892"/>
      <c r="D138" s="892"/>
      <c r="E138" s="892"/>
      <c r="F138" s="210"/>
      <c r="G138" s="210"/>
      <c r="H138" s="210"/>
      <c r="I138" s="210"/>
      <c r="J138" s="210"/>
      <c r="K138" s="204"/>
    </row>
    <row r="139" spans="1:11" ht="12.75" customHeight="1" x14ac:dyDescent="0.3">
      <c r="A139" s="245" t="s">
        <v>500</v>
      </c>
      <c r="B139" s="892"/>
      <c r="C139" s="892"/>
      <c r="D139" s="892"/>
      <c r="E139" s="892"/>
      <c r="F139" s="210"/>
      <c r="G139" s="210"/>
      <c r="H139" s="210"/>
      <c r="I139" s="210"/>
      <c r="J139" s="210"/>
      <c r="K139" s="204"/>
    </row>
    <row r="140" spans="1:11" ht="12.75" customHeight="1" x14ac:dyDescent="0.3">
      <c r="A140" s="245" t="s">
        <v>501</v>
      </c>
      <c r="B140" s="967">
        <f>+B141+B142+B143</f>
        <v>0</v>
      </c>
      <c r="C140" s="967"/>
      <c r="D140" s="967">
        <f>+D141+D142+D143</f>
        <v>0</v>
      </c>
      <c r="E140" s="967"/>
      <c r="F140" s="243">
        <f t="shared" ref="F140:K140" si="9">SUM(F141:F143)</f>
        <v>0</v>
      </c>
      <c r="G140" s="243">
        <f t="shared" si="9"/>
        <v>0</v>
      </c>
      <c r="H140" s="243">
        <f t="shared" si="9"/>
        <v>0</v>
      </c>
      <c r="I140" s="243">
        <f t="shared" si="9"/>
        <v>0</v>
      </c>
      <c r="J140" s="243">
        <f t="shared" si="9"/>
        <v>0</v>
      </c>
      <c r="K140" s="248">
        <f t="shared" si="9"/>
        <v>0</v>
      </c>
    </row>
    <row r="141" spans="1:11" ht="12.75" customHeight="1" x14ac:dyDescent="0.3">
      <c r="A141" s="245" t="s">
        <v>502</v>
      </c>
      <c r="B141" s="892"/>
      <c r="C141" s="892"/>
      <c r="D141" s="892"/>
      <c r="E141" s="892"/>
      <c r="F141" s="210"/>
      <c r="G141" s="210"/>
      <c r="H141" s="210"/>
      <c r="I141" s="210"/>
      <c r="J141" s="210"/>
      <c r="K141" s="204"/>
    </row>
    <row r="142" spans="1:11" ht="12.75" customHeight="1" x14ac:dyDescent="0.3">
      <c r="A142" s="245" t="s">
        <v>499</v>
      </c>
      <c r="B142" s="892"/>
      <c r="C142" s="892"/>
      <c r="D142" s="892"/>
      <c r="E142" s="892"/>
      <c r="F142" s="210"/>
      <c r="G142" s="210"/>
      <c r="H142" s="210"/>
      <c r="I142" s="210"/>
      <c r="J142" s="210"/>
      <c r="K142" s="204"/>
    </row>
    <row r="143" spans="1:11" ht="12.75" customHeight="1" x14ac:dyDescent="0.3">
      <c r="A143" s="245" t="s">
        <v>500</v>
      </c>
      <c r="B143" s="892"/>
      <c r="C143" s="892"/>
      <c r="D143" s="892"/>
      <c r="E143" s="892"/>
      <c r="F143" s="210"/>
      <c r="G143" s="210"/>
      <c r="H143" s="210"/>
      <c r="I143" s="210"/>
      <c r="J143" s="210"/>
      <c r="K143" s="204"/>
    </row>
    <row r="144" spans="1:11" ht="12.75" customHeight="1" x14ac:dyDescent="0.3">
      <c r="A144" s="245" t="s">
        <v>503</v>
      </c>
      <c r="B144" s="967">
        <f>+B145+B146</f>
        <v>0</v>
      </c>
      <c r="C144" s="967"/>
      <c r="D144" s="967">
        <f>+D145+D146</f>
        <v>0</v>
      </c>
      <c r="E144" s="967"/>
      <c r="F144" s="243">
        <f t="shared" ref="F144:K144" si="10">+F145+F146</f>
        <v>0</v>
      </c>
      <c r="G144" s="243">
        <f t="shared" si="10"/>
        <v>0</v>
      </c>
      <c r="H144" s="243">
        <f t="shared" si="10"/>
        <v>0</v>
      </c>
      <c r="I144" s="243">
        <f t="shared" si="10"/>
        <v>0</v>
      </c>
      <c r="J144" s="243">
        <f t="shared" si="10"/>
        <v>0</v>
      </c>
      <c r="K144" s="248">
        <f t="shared" si="10"/>
        <v>0</v>
      </c>
    </row>
    <row r="145" spans="1:11" ht="12.75" customHeight="1" x14ac:dyDescent="0.3">
      <c r="A145" s="245" t="s">
        <v>486</v>
      </c>
      <c r="B145" s="892"/>
      <c r="C145" s="892"/>
      <c r="D145" s="892"/>
      <c r="E145" s="892"/>
      <c r="F145" s="210"/>
      <c r="G145" s="94"/>
      <c r="H145" s="94"/>
      <c r="I145" s="94"/>
      <c r="J145" s="94"/>
      <c r="K145" s="246"/>
    </row>
    <row r="146" spans="1:11" ht="12.75" customHeight="1" x14ac:dyDescent="0.3">
      <c r="A146" s="249" t="s">
        <v>504</v>
      </c>
      <c r="B146" s="917"/>
      <c r="C146" s="917"/>
      <c r="D146" s="917"/>
      <c r="E146" s="917"/>
      <c r="F146" s="250"/>
      <c r="G146" s="251"/>
      <c r="H146" s="251"/>
      <c r="I146" s="251"/>
      <c r="J146" s="251"/>
      <c r="K146" s="252"/>
    </row>
    <row r="147" spans="1:11" ht="12.75" customHeight="1" x14ac:dyDescent="0.3">
      <c r="A147" s="253" t="s">
        <v>505</v>
      </c>
      <c r="B147" s="901">
        <f>B132+B135</f>
        <v>0</v>
      </c>
      <c r="C147" s="901"/>
      <c r="D147" s="901">
        <f>D132+D135</f>
        <v>0</v>
      </c>
      <c r="E147" s="901"/>
      <c r="F147" s="212">
        <f t="shared" ref="F147:K147" si="11">+F132+F135</f>
        <v>0</v>
      </c>
      <c r="G147" s="212">
        <f t="shared" si="11"/>
        <v>0</v>
      </c>
      <c r="H147" s="212">
        <f t="shared" si="11"/>
        <v>0</v>
      </c>
      <c r="I147" s="212">
        <f t="shared" si="11"/>
        <v>0</v>
      </c>
      <c r="J147" s="212">
        <f t="shared" si="11"/>
        <v>0</v>
      </c>
      <c r="K147" s="212">
        <f t="shared" si="11"/>
        <v>0</v>
      </c>
    </row>
    <row r="148" spans="1:11" ht="6" customHeight="1" x14ac:dyDescent="0.3">
      <c r="A148" s="254"/>
      <c r="B148" s="255"/>
      <c r="C148" s="255"/>
      <c r="D148" s="255"/>
      <c r="E148" s="255"/>
      <c r="F148" s="224"/>
      <c r="G148" s="224"/>
      <c r="H148" s="224"/>
      <c r="I148" s="224"/>
      <c r="J148" s="224"/>
      <c r="K148" s="224"/>
    </row>
    <row r="149" spans="1:11" ht="12.75" customHeight="1" x14ac:dyDescent="0.3">
      <c r="A149" s="253" t="s">
        <v>506</v>
      </c>
      <c r="B149" s="901">
        <f>B127-B147</f>
        <v>0</v>
      </c>
      <c r="C149" s="901"/>
      <c r="D149" s="901">
        <f>F127-D147</f>
        <v>0</v>
      </c>
      <c r="E149" s="901"/>
      <c r="F149" s="212">
        <f>H127-F147</f>
        <v>0</v>
      </c>
      <c r="G149" s="212">
        <f>J127-G147</f>
        <v>0</v>
      </c>
      <c r="H149" s="212">
        <f>H127-H147</f>
        <v>0</v>
      </c>
      <c r="I149" s="212">
        <f>J127-I147</f>
        <v>0</v>
      </c>
      <c r="J149" s="256"/>
      <c r="K149" s="256"/>
    </row>
    <row r="150" spans="1:11" ht="6" customHeight="1" x14ac:dyDescent="0.3">
      <c r="A150" s="254"/>
      <c r="B150" s="255"/>
      <c r="C150" s="255"/>
      <c r="D150" s="255"/>
      <c r="E150" s="255"/>
      <c r="F150" s="224"/>
      <c r="G150" s="224"/>
      <c r="H150" s="224"/>
      <c r="I150" s="224"/>
      <c r="J150" s="224"/>
      <c r="K150" s="224"/>
    </row>
    <row r="151" spans="1:11" ht="12.75" customHeight="1" x14ac:dyDescent="0.3">
      <c r="A151" s="253" t="s">
        <v>507</v>
      </c>
      <c r="B151" s="901" t="s">
        <v>460</v>
      </c>
      <c r="C151" s="901"/>
      <c r="D151" s="901"/>
      <c r="E151" s="901"/>
      <c r="F151" s="901"/>
      <c r="G151" s="901"/>
      <c r="H151" s="901"/>
      <c r="I151" s="901"/>
      <c r="J151" s="901"/>
      <c r="K151" s="901"/>
    </row>
    <row r="152" spans="1:11" ht="12.75" customHeight="1" x14ac:dyDescent="0.3">
      <c r="A152" s="254" t="s">
        <v>508</v>
      </c>
      <c r="B152" s="972"/>
      <c r="C152" s="972"/>
      <c r="D152" s="972"/>
      <c r="E152" s="972"/>
      <c r="F152" s="972"/>
      <c r="G152" s="972"/>
      <c r="H152" s="972"/>
      <c r="I152" s="972"/>
      <c r="J152" s="972"/>
      <c r="K152" s="972"/>
    </row>
    <row r="153" spans="1:11" ht="12.75" customHeight="1" x14ac:dyDescent="0.3">
      <c r="A153" s="257" t="s">
        <v>509</v>
      </c>
      <c r="B153" s="968"/>
      <c r="C153" s="968"/>
      <c r="D153" s="968"/>
      <c r="E153" s="968"/>
      <c r="F153" s="968"/>
      <c r="G153" s="968"/>
      <c r="H153" s="968"/>
      <c r="I153" s="968"/>
      <c r="J153" s="968"/>
      <c r="K153" s="968"/>
    </row>
    <row r="154" spans="1:11" ht="19.149999999999999" customHeight="1" x14ac:dyDescent="0.3">
      <c r="A154" s="969" t="s">
        <v>160</v>
      </c>
      <c r="B154" s="969"/>
      <c r="C154" s="969"/>
      <c r="D154" s="969"/>
      <c r="E154" s="969"/>
      <c r="F154" s="969"/>
      <c r="G154" s="969"/>
      <c r="H154" s="969"/>
      <c r="I154" s="969"/>
      <c r="J154" s="969"/>
      <c r="K154" s="969"/>
    </row>
    <row r="155" spans="1:11" ht="11.25" customHeight="1" x14ac:dyDescent="0.3">
      <c r="A155" s="258" t="s">
        <v>510</v>
      </c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</row>
    <row r="156" spans="1:11" ht="11.25" customHeight="1" x14ac:dyDescent="0.3">
      <c r="A156" s="970" t="s">
        <v>511</v>
      </c>
      <c r="B156" s="970"/>
      <c r="C156" s="970"/>
      <c r="D156" s="970"/>
      <c r="E156" s="970"/>
      <c r="F156" s="970"/>
      <c r="G156" s="970"/>
      <c r="H156" s="970"/>
      <c r="I156" s="970"/>
      <c r="J156" s="970"/>
      <c r="K156" s="970"/>
    </row>
    <row r="157" spans="1:11" ht="11.25" customHeight="1" x14ac:dyDescent="0.3">
      <c r="A157" s="971" t="s">
        <v>512</v>
      </c>
      <c r="B157" s="971"/>
      <c r="C157" s="971"/>
      <c r="D157" s="971"/>
      <c r="E157" s="971"/>
      <c r="F157" s="971"/>
      <c r="G157" s="971"/>
      <c r="H157" s="971"/>
      <c r="I157" s="971"/>
      <c r="J157" s="971"/>
      <c r="K157" s="971"/>
    </row>
  </sheetData>
  <sheetProtection password="F3F6" sheet="1"/>
  <mergeCells count="400"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  <mergeCell ref="B144:C144"/>
    <mergeCell ref="D144:E144"/>
    <mergeCell ref="B145:C145"/>
    <mergeCell ref="D145:E145"/>
    <mergeCell ref="B146:C146"/>
    <mergeCell ref="D146:E146"/>
    <mergeCell ref="B141:C141"/>
    <mergeCell ref="D141:E141"/>
    <mergeCell ref="B142:C142"/>
    <mergeCell ref="D142:E142"/>
    <mergeCell ref="B143:C143"/>
    <mergeCell ref="D143:E143"/>
    <mergeCell ref="B138:C138"/>
    <mergeCell ref="D138:E138"/>
    <mergeCell ref="B139:C139"/>
    <mergeCell ref="D139:E139"/>
    <mergeCell ref="B140:C140"/>
    <mergeCell ref="D140:E140"/>
    <mergeCell ref="B135:C135"/>
    <mergeCell ref="D135:E135"/>
    <mergeCell ref="B136:C136"/>
    <mergeCell ref="D136:E136"/>
    <mergeCell ref="B137:C137"/>
    <mergeCell ref="D137:E137"/>
    <mergeCell ref="B132:C132"/>
    <mergeCell ref="D132:E132"/>
    <mergeCell ref="B133:C133"/>
    <mergeCell ref="D133:E133"/>
    <mergeCell ref="B134:C134"/>
    <mergeCell ref="D134:E134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97:E97"/>
    <mergeCell ref="F97:G97"/>
    <mergeCell ref="H97:I97"/>
    <mergeCell ref="J97:K97"/>
    <mergeCell ref="B98:E98"/>
    <mergeCell ref="F98:G98"/>
    <mergeCell ref="H98:I98"/>
    <mergeCell ref="J98:K98"/>
    <mergeCell ref="B95:E95"/>
    <mergeCell ref="F95:G95"/>
    <mergeCell ref="H95:I95"/>
    <mergeCell ref="J95:K95"/>
    <mergeCell ref="B96:E96"/>
    <mergeCell ref="F96:G96"/>
    <mergeCell ref="H96:I96"/>
    <mergeCell ref="J96:K96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87:G87"/>
    <mergeCell ref="H87:K87"/>
    <mergeCell ref="B88:G88"/>
    <mergeCell ref="H88:K88"/>
    <mergeCell ref="B89:G89"/>
    <mergeCell ref="H89:K89"/>
    <mergeCell ref="B82:K82"/>
    <mergeCell ref="B83:K83"/>
    <mergeCell ref="A85:A86"/>
    <mergeCell ref="B85:K85"/>
    <mergeCell ref="B86:G86"/>
    <mergeCell ref="H86:K86"/>
    <mergeCell ref="B74:K74"/>
    <mergeCell ref="B75:K75"/>
    <mergeCell ref="A77:A79"/>
    <mergeCell ref="B77:K79"/>
    <mergeCell ref="B80:K80"/>
    <mergeCell ref="B81:K81"/>
    <mergeCell ref="B67:C67"/>
    <mergeCell ref="D67:E67"/>
    <mergeCell ref="B69:C69"/>
    <mergeCell ref="D69:E69"/>
    <mergeCell ref="B71:K71"/>
    <mergeCell ref="B72:K72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A49:A51"/>
    <mergeCell ref="B49:C51"/>
    <mergeCell ref="D49:E51"/>
    <mergeCell ref="F49:G49"/>
    <mergeCell ref="H49:I49"/>
    <mergeCell ref="J49:K49"/>
    <mergeCell ref="B46:E46"/>
    <mergeCell ref="F46:G46"/>
    <mergeCell ref="H46:I46"/>
    <mergeCell ref="J46:K46"/>
    <mergeCell ref="B47:E47"/>
    <mergeCell ref="F47:G47"/>
    <mergeCell ref="H47:I47"/>
    <mergeCell ref="J47:K47"/>
    <mergeCell ref="B44:E44"/>
    <mergeCell ref="F44:G44"/>
    <mergeCell ref="H44:I44"/>
    <mergeCell ref="J44:K44"/>
    <mergeCell ref="B45:E45"/>
    <mergeCell ref="F45:G45"/>
    <mergeCell ref="H45:I45"/>
    <mergeCell ref="J45:K45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A3:F3"/>
    <mergeCell ref="A4:F4"/>
    <mergeCell ref="A5:F5"/>
    <mergeCell ref="A6:F6"/>
    <mergeCell ref="A7:F7"/>
    <mergeCell ref="A10:A12"/>
    <mergeCell ref="B10:E12"/>
    <mergeCell ref="F10:G1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0" zoomScaleNormal="140" workbookViewId="0">
      <selection activeCell="B14" sqref="B14"/>
    </sheetView>
  </sheetViews>
  <sheetFormatPr defaultColWidth="8.81640625" defaultRowHeight="11.25" customHeight="1" x14ac:dyDescent="0.3"/>
  <cols>
    <col min="1" max="1" width="59.453125" style="142" customWidth="1"/>
    <col min="2" max="7" width="12.453125" style="142" customWidth="1"/>
    <col min="8" max="16384" width="8.81640625" style="142"/>
  </cols>
  <sheetData>
    <row r="1" spans="1:7" ht="15.75" customHeight="1" x14ac:dyDescent="0.3">
      <c r="A1" s="143" t="s">
        <v>513</v>
      </c>
      <c r="D1" s="129"/>
      <c r="E1" s="129"/>
    </row>
    <row r="2" spans="1:7" ht="12.75" customHeight="1" x14ac:dyDescent="0.3">
      <c r="D2" s="129"/>
      <c r="E2" s="129"/>
    </row>
    <row r="3" spans="1:7" ht="12.75" customHeight="1" x14ac:dyDescent="0.3">
      <c r="A3" s="880" t="str">
        <f>+'Informações Iniciais'!A1:B1</f>
        <v>ESTADO DO MARANHÃO - PREFEITURA MUNICIPAL DE DAVINOPOLIS</v>
      </c>
      <c r="B3" s="880"/>
      <c r="C3" s="880"/>
      <c r="D3" s="880"/>
      <c r="E3" s="880"/>
      <c r="F3" s="880"/>
      <c r="G3" s="880"/>
    </row>
    <row r="4" spans="1:7" ht="12.75" customHeight="1" x14ac:dyDescent="0.3">
      <c r="A4" s="880" t="s">
        <v>1</v>
      </c>
      <c r="B4" s="880"/>
      <c r="C4" s="880"/>
      <c r="D4" s="880"/>
      <c r="E4" s="880"/>
      <c r="F4" s="880"/>
      <c r="G4" s="880"/>
    </row>
    <row r="5" spans="1:7" ht="12.75" customHeight="1" x14ac:dyDescent="0.3">
      <c r="A5" s="879" t="s">
        <v>514</v>
      </c>
      <c r="B5" s="879"/>
      <c r="C5" s="879"/>
      <c r="D5" s="879"/>
      <c r="E5" s="879"/>
      <c r="F5" s="879"/>
      <c r="G5" s="879"/>
    </row>
    <row r="6" spans="1:7" ht="12.75" customHeight="1" x14ac:dyDescent="0.3">
      <c r="A6" s="880" t="s">
        <v>29</v>
      </c>
      <c r="B6" s="880"/>
      <c r="C6" s="880"/>
      <c r="D6" s="880"/>
      <c r="E6" s="880"/>
      <c r="F6" s="880"/>
      <c r="G6" s="880"/>
    </row>
    <row r="7" spans="1:7" ht="12.75" customHeight="1" x14ac:dyDescent="0.3">
      <c r="A7" s="880" t="str">
        <f>+'Informações Iniciais'!A5:B5</f>
        <v>5º Bimestre de 2018</v>
      </c>
      <c r="B7" s="880"/>
      <c r="C7" s="880"/>
      <c r="D7" s="880"/>
      <c r="E7" s="880"/>
      <c r="F7" s="880"/>
      <c r="G7" s="880"/>
    </row>
    <row r="8" spans="1:7" ht="12.75" customHeight="1" x14ac:dyDescent="0.3">
      <c r="A8" s="155"/>
      <c r="B8" s="155"/>
      <c r="C8" s="155"/>
      <c r="D8" s="155"/>
      <c r="E8" s="155"/>
      <c r="F8" s="155"/>
      <c r="G8" s="155"/>
    </row>
    <row r="9" spans="1:7" ht="12.75" customHeight="1" x14ac:dyDescent="0.3">
      <c r="A9" s="142" t="s">
        <v>515</v>
      </c>
      <c r="D9" s="178"/>
      <c r="E9" s="129"/>
      <c r="G9" s="148" t="s">
        <v>31</v>
      </c>
    </row>
    <row r="10" spans="1:7" ht="12.75" customHeight="1" x14ac:dyDescent="0.3">
      <c r="A10" s="260"/>
      <c r="B10" s="261"/>
      <c r="C10" s="262"/>
      <c r="D10" s="973" t="s">
        <v>36</v>
      </c>
      <c r="E10" s="973"/>
      <c r="F10" s="262"/>
      <c r="G10" s="263"/>
    </row>
    <row r="11" spans="1:7" ht="12.75" customHeight="1" x14ac:dyDescent="0.3">
      <c r="A11" s="264" t="s">
        <v>516</v>
      </c>
      <c r="B11" s="974" t="s">
        <v>517</v>
      </c>
      <c r="C11" s="974"/>
      <c r="D11" s="975" t="s">
        <v>518</v>
      </c>
      <c r="E11" s="975"/>
      <c r="F11" s="976" t="s">
        <v>519</v>
      </c>
      <c r="G11" s="976"/>
    </row>
    <row r="12" spans="1:7" ht="12.75" customHeight="1" x14ac:dyDescent="0.3">
      <c r="A12" s="265"/>
      <c r="B12" s="977" t="s">
        <v>40</v>
      </c>
      <c r="C12" s="977"/>
      <c r="D12" s="978" t="s">
        <v>41</v>
      </c>
      <c r="E12" s="978"/>
      <c r="F12" s="979" t="s">
        <v>43</v>
      </c>
      <c r="G12" s="979"/>
    </row>
    <row r="13" spans="1:7" ht="12.75" customHeight="1" x14ac:dyDescent="0.3">
      <c r="A13" s="26" t="s">
        <v>520</v>
      </c>
      <c r="B13" s="892"/>
      <c r="C13" s="892"/>
      <c r="D13" s="892"/>
      <c r="E13" s="892"/>
      <c r="F13" s="892"/>
      <c r="G13" s="892"/>
    </row>
    <row r="14" spans="1:7" ht="12.75" customHeight="1" x14ac:dyDescent="0.3">
      <c r="A14" s="26" t="s">
        <v>401</v>
      </c>
      <c r="B14" s="967">
        <f>+B15+B18</f>
        <v>0</v>
      </c>
      <c r="C14" s="967"/>
      <c r="D14" s="967">
        <f>+D15+D18</f>
        <v>0</v>
      </c>
      <c r="E14" s="967"/>
      <c r="F14" s="967">
        <f>+F15+F18</f>
        <v>0</v>
      </c>
      <c r="G14" s="967"/>
    </row>
    <row r="15" spans="1:7" ht="12.75" customHeight="1" x14ac:dyDescent="0.3">
      <c r="A15" s="266" t="s">
        <v>521</v>
      </c>
      <c r="B15" s="967">
        <f>IF(ABS(B17)&gt;B16,0,B16-ABS(B17))</f>
        <v>0</v>
      </c>
      <c r="C15" s="967"/>
      <c r="D15" s="967">
        <f>IF(ABS(D17)&gt;D16,0,D16-ABS(D17))</f>
        <v>0</v>
      </c>
      <c r="E15" s="967"/>
      <c r="F15" s="967">
        <f>IF(ABS(F17)&gt;F16,0,F16-ABS(F17))</f>
        <v>0</v>
      </c>
      <c r="G15" s="967"/>
    </row>
    <row r="16" spans="1:7" ht="12.75" customHeight="1" x14ac:dyDescent="0.3">
      <c r="A16" s="266" t="s">
        <v>522</v>
      </c>
      <c r="B16" s="892"/>
      <c r="C16" s="892"/>
      <c r="D16" s="892"/>
      <c r="E16" s="892"/>
      <c r="F16" s="892"/>
      <c r="G16" s="892"/>
    </row>
    <row r="17" spans="1:9" ht="12.75" customHeight="1" x14ac:dyDescent="0.3">
      <c r="A17" s="266" t="s">
        <v>523</v>
      </c>
      <c r="B17" s="892"/>
      <c r="C17" s="892"/>
      <c r="D17" s="892"/>
      <c r="E17" s="892"/>
      <c r="F17" s="892"/>
      <c r="G17" s="892"/>
    </row>
    <row r="18" spans="1:9" ht="12.75" customHeight="1" x14ac:dyDescent="0.3">
      <c r="A18" s="266" t="s">
        <v>524</v>
      </c>
      <c r="B18" s="892"/>
      <c r="C18" s="892"/>
      <c r="D18" s="892"/>
      <c r="E18" s="892"/>
      <c r="F18" s="892"/>
      <c r="G18" s="892"/>
    </row>
    <row r="19" spans="1:9" ht="12.75" customHeight="1" x14ac:dyDescent="0.3">
      <c r="A19" s="26" t="s">
        <v>525</v>
      </c>
      <c r="B19" s="967">
        <f>IF(ABS(B14)&gt;B13,0,B13-ABS(B14))</f>
        <v>0</v>
      </c>
      <c r="C19" s="967"/>
      <c r="D19" s="967">
        <f>IF(ABS(D14)&gt;D13,0,D13-ABS(D14))</f>
        <v>0</v>
      </c>
      <c r="E19" s="967"/>
      <c r="F19" s="967">
        <f>IF(ABS(F14)&gt;F13,0,F13-ABS(F14))</f>
        <v>0</v>
      </c>
      <c r="G19" s="967"/>
    </row>
    <row r="20" spans="1:9" ht="12.75" customHeight="1" x14ac:dyDescent="0.3">
      <c r="A20" s="26" t="s">
        <v>526</v>
      </c>
      <c r="B20" s="892"/>
      <c r="C20" s="892"/>
      <c r="D20" s="892"/>
      <c r="E20" s="892"/>
      <c r="F20" s="892"/>
      <c r="G20" s="892"/>
    </row>
    <row r="21" spans="1:9" ht="12.75" customHeight="1" x14ac:dyDescent="0.3">
      <c r="A21" s="26" t="s">
        <v>527</v>
      </c>
      <c r="B21" s="892"/>
      <c r="C21" s="892"/>
      <c r="D21" s="892"/>
      <c r="E21" s="892"/>
      <c r="F21" s="892"/>
      <c r="G21" s="892"/>
    </row>
    <row r="22" spans="1:9" ht="12.75" customHeight="1" x14ac:dyDescent="0.3">
      <c r="A22" s="267" t="s">
        <v>528</v>
      </c>
      <c r="B22" s="897">
        <f>B19+B20-B21</f>
        <v>0</v>
      </c>
      <c r="C22" s="897"/>
      <c r="D22" s="897">
        <f>D19+D20-D21</f>
        <v>0</v>
      </c>
      <c r="E22" s="897"/>
      <c r="F22" s="897">
        <f>F19+F20-F21</f>
        <v>0</v>
      </c>
      <c r="G22" s="897"/>
    </row>
    <row r="23" spans="1:9" ht="12.75" customHeight="1" x14ac:dyDescent="0.3">
      <c r="A23" s="146"/>
      <c r="B23" s="985">
        <f>IF(B17&lt;0,SUM(B15:C18),+B15+B18-B17)</f>
        <v>0</v>
      </c>
      <c r="C23" s="985"/>
      <c r="D23" s="985">
        <f>IF(D17&lt;0,SUM(D15:E18),+D15+D18-D17)</f>
        <v>0</v>
      </c>
      <c r="E23" s="985"/>
      <c r="F23" s="985">
        <f>IF(F17&lt;0,SUM(F15:G18),+F15+F18-F17)</f>
        <v>0</v>
      </c>
      <c r="G23" s="985"/>
    </row>
    <row r="24" spans="1:9" ht="12.75" customHeight="1" x14ac:dyDescent="0.3">
      <c r="A24" s="881" t="s">
        <v>529</v>
      </c>
      <c r="B24" s="268"/>
      <c r="C24" s="269"/>
      <c r="D24" s="986" t="s">
        <v>466</v>
      </c>
      <c r="E24" s="986"/>
      <c r="F24" s="269"/>
      <c r="G24" s="270"/>
    </row>
    <row r="25" spans="1:9" ht="12.75" customHeight="1" x14ac:dyDescent="0.3">
      <c r="A25" s="881"/>
      <c r="B25" s="271"/>
      <c r="C25" s="272" t="s">
        <v>37</v>
      </c>
      <c r="D25" s="273"/>
      <c r="E25" s="271"/>
      <c r="F25" s="272" t="s">
        <v>39</v>
      </c>
      <c r="G25" s="273"/>
    </row>
    <row r="26" spans="1:9" ht="12.75" customHeight="1" x14ac:dyDescent="0.3">
      <c r="A26" s="881"/>
      <c r="B26" s="274"/>
      <c r="C26" s="275" t="s">
        <v>530</v>
      </c>
      <c r="D26" s="276"/>
      <c r="E26" s="274"/>
      <c r="F26" s="275" t="s">
        <v>531</v>
      </c>
      <c r="G26" s="276"/>
    </row>
    <row r="27" spans="1:9" ht="12.75" customHeight="1" x14ac:dyDescent="0.3">
      <c r="A27" s="277" t="s">
        <v>457</v>
      </c>
      <c r="B27" s="980">
        <f>F22-D22</f>
        <v>0</v>
      </c>
      <c r="C27" s="980"/>
      <c r="D27" s="980"/>
      <c r="E27" s="980">
        <f>F22-B22</f>
        <v>0</v>
      </c>
      <c r="F27" s="980"/>
      <c r="G27" s="980"/>
    </row>
    <row r="28" spans="1:9" ht="12.75" customHeight="1" x14ac:dyDescent="0.3">
      <c r="A28" s="26"/>
      <c r="B28" s="20"/>
      <c r="C28" s="20"/>
      <c r="D28" s="20"/>
      <c r="E28" s="20"/>
      <c r="F28" s="20"/>
      <c r="G28" s="136"/>
    </row>
    <row r="29" spans="1:9" ht="11.25" customHeight="1" x14ac:dyDescent="0.3">
      <c r="A29" s="981" t="s">
        <v>532</v>
      </c>
      <c r="B29" s="981"/>
      <c r="C29" s="981"/>
      <c r="D29" s="981"/>
      <c r="E29" s="982" t="s">
        <v>533</v>
      </c>
      <c r="F29" s="982"/>
      <c r="G29" s="982"/>
    </row>
    <row r="30" spans="1:9" ht="11.25" customHeight="1" x14ac:dyDescent="0.3">
      <c r="A30" s="981"/>
      <c r="B30" s="981"/>
      <c r="C30" s="981"/>
      <c r="D30" s="981"/>
      <c r="E30" s="982"/>
      <c r="F30" s="982"/>
      <c r="G30" s="982"/>
    </row>
    <row r="31" spans="1:9" ht="12.75" customHeight="1" x14ac:dyDescent="0.3">
      <c r="A31" s="277" t="s">
        <v>534</v>
      </c>
      <c r="B31" s="278"/>
      <c r="C31" s="278"/>
      <c r="D31" s="278"/>
      <c r="E31" s="983"/>
      <c r="F31" s="983"/>
      <c r="G31" s="983"/>
    </row>
    <row r="32" spans="1:9" ht="12.75" customHeight="1" x14ac:dyDescent="0.3">
      <c r="A32" s="984" t="s">
        <v>160</v>
      </c>
      <c r="B32" s="984"/>
      <c r="C32" s="984"/>
      <c r="D32" s="984"/>
      <c r="E32" s="984"/>
      <c r="F32" s="984"/>
      <c r="G32" s="984"/>
      <c r="H32" s="279"/>
      <c r="I32" s="279"/>
    </row>
  </sheetData>
  <sheetProtection selectLockedCells="1" selectUnlockedCells="1"/>
  <mergeCells count="53"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A114" zoomScale="140" zoomScaleNormal="140" workbookViewId="0">
      <selection activeCell="A131" sqref="A131"/>
    </sheetView>
  </sheetViews>
  <sheetFormatPr defaultColWidth="16.453125" defaultRowHeight="11.25" customHeight="1" x14ac:dyDescent="0.25"/>
  <cols>
    <col min="1" max="1" width="74.453125" style="280" customWidth="1"/>
    <col min="2" max="2" width="17.81640625" style="280" customWidth="1"/>
    <col min="3" max="3" width="17.81640625" style="281" customWidth="1"/>
    <col min="4" max="5" width="17.81640625" style="280" customWidth="1"/>
    <col min="6" max="6" width="19.1796875" style="280" customWidth="1"/>
    <col min="7" max="7" width="17.7265625" style="280" customWidth="1"/>
    <col min="8" max="8" width="20.453125" style="280" customWidth="1"/>
    <col min="9" max="254" width="7.54296875" style="280" customWidth="1"/>
    <col min="255" max="255" width="54.7265625" style="280" customWidth="1"/>
    <col min="256" max="16384" width="16.453125" style="280"/>
  </cols>
  <sheetData>
    <row r="1" spans="1:8" ht="11.25" customHeight="1" x14ac:dyDescent="0.3">
      <c r="A1" s="30" t="s">
        <v>535</v>
      </c>
      <c r="B1" s="282"/>
      <c r="C1" s="283"/>
      <c r="D1" s="282"/>
    </row>
    <row r="2" spans="1:8" ht="11.25" customHeight="1" x14ac:dyDescent="0.25">
      <c r="A2" s="190"/>
      <c r="B2" s="190"/>
      <c r="C2" s="266"/>
      <c r="D2" s="190"/>
    </row>
    <row r="3" spans="1:8" ht="13.15" customHeight="1" x14ac:dyDescent="0.3">
      <c r="A3" s="880" t="str">
        <f>+'Informações Iniciais'!A1:B1</f>
        <v>ESTADO DO MARANHÃO - PREFEITURA MUNICIPAL DE DAVINOPOLIS</v>
      </c>
      <c r="B3" s="880"/>
      <c r="C3" s="880"/>
      <c r="D3" s="880"/>
    </row>
    <row r="4" spans="1:8" ht="13.15" customHeight="1" x14ac:dyDescent="0.3">
      <c r="A4" s="880" t="s">
        <v>1</v>
      </c>
      <c r="B4" s="880"/>
      <c r="C4" s="880"/>
      <c r="D4" s="880"/>
    </row>
    <row r="5" spans="1:8" ht="13.15" customHeight="1" x14ac:dyDescent="0.3">
      <c r="A5" s="879" t="s">
        <v>536</v>
      </c>
      <c r="B5" s="879"/>
      <c r="C5" s="879"/>
      <c r="D5" s="879"/>
    </row>
    <row r="6" spans="1:8" ht="13.15" customHeight="1" x14ac:dyDescent="0.3">
      <c r="A6" s="880" t="s">
        <v>29</v>
      </c>
      <c r="B6" s="880"/>
      <c r="C6" s="880"/>
      <c r="D6" s="880"/>
    </row>
    <row r="7" spans="1:8" ht="13.15" customHeight="1" x14ac:dyDescent="0.3">
      <c r="A7" s="880" t="str">
        <f>+'Informações Iniciais'!A5:B5</f>
        <v>5º Bimestre de 2018</v>
      </c>
      <c r="B7" s="880"/>
      <c r="C7" s="880"/>
      <c r="D7" s="880"/>
    </row>
    <row r="8" spans="1:8" ht="11.25" customHeight="1" x14ac:dyDescent="0.3">
      <c r="A8" s="146"/>
      <c r="B8" s="146"/>
      <c r="C8" s="146"/>
      <c r="D8" s="146"/>
    </row>
    <row r="9" spans="1:8" ht="11.25" customHeight="1" x14ac:dyDescent="0.3">
      <c r="A9" s="284" t="s">
        <v>537</v>
      </c>
      <c r="B9" s="285"/>
      <c r="C9" s="285"/>
      <c r="D9" s="285"/>
      <c r="E9" s="286"/>
      <c r="F9" s="286"/>
      <c r="G9" s="286"/>
      <c r="H9" s="287" t="s">
        <v>538</v>
      </c>
    </row>
    <row r="10" spans="1:8" ht="11.25" customHeight="1" x14ac:dyDescent="0.25">
      <c r="A10" s="987" t="s">
        <v>539</v>
      </c>
      <c r="B10" s="987"/>
      <c r="C10" s="987"/>
      <c r="D10" s="987"/>
      <c r="E10" s="987"/>
      <c r="F10" s="987"/>
      <c r="G10" s="987"/>
      <c r="H10" s="987"/>
    </row>
    <row r="11" spans="1:8" ht="11.25" customHeight="1" x14ac:dyDescent="0.25">
      <c r="A11" s="987"/>
      <c r="B11" s="987"/>
      <c r="C11" s="987"/>
      <c r="D11" s="987"/>
      <c r="E11" s="987"/>
      <c r="F11" s="987"/>
      <c r="G11" s="987"/>
      <c r="H11" s="987"/>
    </row>
    <row r="12" spans="1:8" ht="11.25" customHeight="1" x14ac:dyDescent="0.25">
      <c r="A12" s="288"/>
      <c r="B12" s="988" t="s">
        <v>540</v>
      </c>
      <c r="C12" s="989" t="s">
        <v>541</v>
      </c>
      <c r="D12" s="989"/>
      <c r="E12" s="989"/>
      <c r="F12" s="989"/>
      <c r="G12" s="989"/>
      <c r="H12" s="989"/>
    </row>
    <row r="13" spans="1:8" ht="13.15" customHeight="1" x14ac:dyDescent="0.25">
      <c r="A13" s="290" t="s">
        <v>542</v>
      </c>
      <c r="B13" s="988"/>
      <c r="C13" s="990" t="s">
        <v>35</v>
      </c>
      <c r="D13" s="990"/>
      <c r="E13" s="990"/>
      <c r="F13" s="990"/>
      <c r="G13" s="990"/>
      <c r="H13" s="990"/>
    </row>
    <row r="14" spans="1:8" ht="11.25" customHeight="1" x14ac:dyDescent="0.25">
      <c r="A14" s="291"/>
      <c r="B14" s="988"/>
      <c r="C14" s="991" t="s">
        <v>40</v>
      </c>
      <c r="D14" s="991"/>
      <c r="E14" s="991"/>
      <c r="F14" s="991"/>
      <c r="G14" s="991"/>
      <c r="H14" s="991"/>
    </row>
    <row r="15" spans="1:8" ht="11.25" customHeight="1" x14ac:dyDescent="0.3">
      <c r="A15" s="292" t="s">
        <v>377</v>
      </c>
      <c r="B15" s="293">
        <f>B16+B22+B23+B26+B35</f>
        <v>55017742.18</v>
      </c>
      <c r="C15" s="992">
        <f>C16+C22+C23+C26+C35</f>
        <v>28422046.18</v>
      </c>
      <c r="D15" s="992"/>
      <c r="E15" s="992"/>
      <c r="F15" s="992"/>
      <c r="G15" s="992"/>
      <c r="H15" s="992"/>
    </row>
    <row r="16" spans="1:8" ht="11.25" customHeight="1" x14ac:dyDescent="0.3">
      <c r="A16" s="294" t="s">
        <v>543</v>
      </c>
      <c r="B16" s="295">
        <f>SUM(B17:B21)</f>
        <v>2269388.56</v>
      </c>
      <c r="C16" s="993">
        <f>SUM(C17:C21)</f>
        <v>465931.64</v>
      </c>
      <c r="D16" s="993"/>
      <c r="E16" s="993"/>
      <c r="F16" s="993"/>
      <c r="G16" s="993"/>
      <c r="H16" s="993"/>
    </row>
    <row r="17" spans="1:8" ht="11.25" customHeight="1" x14ac:dyDescent="0.3">
      <c r="A17" s="296" t="s">
        <v>379</v>
      </c>
      <c r="B17" s="297">
        <v>0</v>
      </c>
      <c r="C17" s="994">
        <v>0</v>
      </c>
      <c r="D17" s="994"/>
      <c r="E17" s="994"/>
      <c r="F17" s="994"/>
      <c r="G17" s="994"/>
      <c r="H17" s="994"/>
    </row>
    <row r="18" spans="1:8" ht="11.25" customHeight="1" x14ac:dyDescent="0.3">
      <c r="A18" s="296" t="s">
        <v>380</v>
      </c>
      <c r="B18" s="297">
        <v>0</v>
      </c>
      <c r="C18" s="994">
        <v>0</v>
      </c>
      <c r="D18" s="994"/>
      <c r="E18" s="994"/>
      <c r="F18" s="994"/>
      <c r="G18" s="994"/>
      <c r="H18" s="994"/>
    </row>
    <row r="19" spans="1:8" ht="11.25" customHeight="1" x14ac:dyDescent="0.3">
      <c r="A19" s="296" t="s">
        <v>381</v>
      </c>
      <c r="B19" s="297">
        <v>0</v>
      </c>
      <c r="C19" s="994">
        <v>0</v>
      </c>
      <c r="D19" s="994"/>
      <c r="E19" s="994"/>
      <c r="F19" s="994"/>
      <c r="G19" s="994"/>
      <c r="H19" s="994"/>
    </row>
    <row r="20" spans="1:8" ht="11.25" customHeight="1" x14ac:dyDescent="0.3">
      <c r="A20" s="296" t="s">
        <v>382</v>
      </c>
      <c r="B20" s="297">
        <v>0</v>
      </c>
      <c r="C20" s="994">
        <v>0</v>
      </c>
      <c r="D20" s="994"/>
      <c r="E20" s="994"/>
      <c r="F20" s="994"/>
      <c r="G20" s="994"/>
      <c r="H20" s="994"/>
    </row>
    <row r="21" spans="1:8" ht="11.25" customHeight="1" x14ac:dyDescent="0.3">
      <c r="A21" s="296" t="s">
        <v>383</v>
      </c>
      <c r="B21" s="297">
        <v>2269388.56</v>
      </c>
      <c r="C21" s="994">
        <v>465931.64</v>
      </c>
      <c r="D21" s="994"/>
      <c r="E21" s="994"/>
      <c r="F21" s="994"/>
      <c r="G21" s="994"/>
      <c r="H21" s="994"/>
    </row>
    <row r="22" spans="1:8" ht="11.25" customHeight="1" x14ac:dyDescent="0.3">
      <c r="A22" s="298" t="s">
        <v>544</v>
      </c>
      <c r="B22" s="297">
        <v>197323.42</v>
      </c>
      <c r="C22" s="994">
        <v>0</v>
      </c>
      <c r="D22" s="994"/>
      <c r="E22" s="994"/>
      <c r="F22" s="994"/>
      <c r="G22" s="994"/>
      <c r="H22" s="994"/>
    </row>
    <row r="23" spans="1:8" ht="11.25" customHeight="1" x14ac:dyDescent="0.3">
      <c r="A23" s="296" t="s">
        <v>545</v>
      </c>
      <c r="B23" s="295">
        <f>B24+B25</f>
        <v>170959.69</v>
      </c>
      <c r="C23" s="995">
        <f>C24+C25</f>
        <v>-40166.43</v>
      </c>
      <c r="D23" s="995"/>
      <c r="E23" s="995"/>
      <c r="F23" s="995"/>
      <c r="G23" s="995"/>
      <c r="H23" s="995"/>
    </row>
    <row r="24" spans="1:8" ht="11.25" customHeight="1" x14ac:dyDescent="0.3">
      <c r="A24" s="299" t="s">
        <v>546</v>
      </c>
      <c r="B24" s="297">
        <v>-88025.08</v>
      </c>
      <c r="C24" s="994">
        <v>0</v>
      </c>
      <c r="D24" s="994"/>
      <c r="E24" s="994"/>
      <c r="F24" s="994"/>
      <c r="G24" s="994"/>
      <c r="H24" s="994"/>
    </row>
    <row r="25" spans="1:8" ht="11.25" customHeight="1" x14ac:dyDescent="0.3">
      <c r="A25" s="296" t="s">
        <v>484</v>
      </c>
      <c r="B25" s="297">
        <v>258984.77</v>
      </c>
      <c r="C25" s="994">
        <v>-40166.43</v>
      </c>
      <c r="D25" s="994"/>
      <c r="E25" s="994"/>
      <c r="F25" s="994"/>
      <c r="G25" s="994"/>
      <c r="H25" s="994"/>
    </row>
    <row r="26" spans="1:8" ht="11.25" customHeight="1" x14ac:dyDescent="0.3">
      <c r="A26" s="299" t="s">
        <v>547</v>
      </c>
      <c r="B26" s="295">
        <f>SUM(B27:B34)</f>
        <v>52380070.509999998</v>
      </c>
      <c r="C26" s="996">
        <f>SUM(C27:C34)</f>
        <v>27996280.969999999</v>
      </c>
      <c r="D26" s="996"/>
      <c r="E26" s="996"/>
      <c r="F26" s="996"/>
      <c r="G26" s="996"/>
      <c r="H26" s="996"/>
    </row>
    <row r="27" spans="1:8" ht="11.25" customHeight="1" x14ac:dyDescent="0.3">
      <c r="A27" s="296" t="s">
        <v>392</v>
      </c>
      <c r="B27" s="297">
        <v>0</v>
      </c>
      <c r="C27" s="994">
        <v>0</v>
      </c>
      <c r="D27" s="994"/>
      <c r="E27" s="994"/>
      <c r="F27" s="994"/>
      <c r="G27" s="994"/>
      <c r="H27" s="994"/>
    </row>
    <row r="28" spans="1:8" ht="11.25" customHeight="1" x14ac:dyDescent="0.3">
      <c r="A28" s="296" t="s">
        <v>393</v>
      </c>
      <c r="B28" s="297">
        <v>0</v>
      </c>
      <c r="C28" s="994">
        <v>0</v>
      </c>
      <c r="D28" s="994"/>
      <c r="E28" s="994"/>
      <c r="F28" s="994"/>
      <c r="G28" s="994"/>
      <c r="H28" s="994"/>
    </row>
    <row r="29" spans="1:8" ht="11.25" customHeight="1" x14ac:dyDescent="0.3">
      <c r="A29" s="296" t="s">
        <v>394</v>
      </c>
      <c r="B29" s="297">
        <v>0</v>
      </c>
      <c r="C29" s="994">
        <v>0</v>
      </c>
      <c r="D29" s="994"/>
      <c r="E29" s="994"/>
      <c r="F29" s="994"/>
      <c r="G29" s="994"/>
      <c r="H29" s="994"/>
    </row>
    <row r="30" spans="1:8" ht="11.25" customHeight="1" x14ac:dyDescent="0.3">
      <c r="A30" s="296" t="s">
        <v>395</v>
      </c>
      <c r="B30" s="297">
        <v>0</v>
      </c>
      <c r="C30" s="994">
        <v>0</v>
      </c>
      <c r="D30" s="994"/>
      <c r="E30" s="994"/>
      <c r="F30" s="994"/>
      <c r="G30" s="994"/>
      <c r="H30" s="994"/>
    </row>
    <row r="31" spans="1:8" ht="11.25" customHeight="1" x14ac:dyDescent="0.3">
      <c r="A31" s="296" t="s">
        <v>396</v>
      </c>
      <c r="B31" s="297">
        <v>0</v>
      </c>
      <c r="C31" s="994">
        <v>0</v>
      </c>
      <c r="D31" s="994"/>
      <c r="E31" s="994"/>
      <c r="F31" s="994"/>
      <c r="G31" s="994"/>
      <c r="H31" s="994"/>
    </row>
    <row r="32" spans="1:8" ht="11.25" customHeight="1" x14ac:dyDescent="0.3">
      <c r="A32" s="292" t="s">
        <v>397</v>
      </c>
      <c r="B32" s="297">
        <v>0</v>
      </c>
      <c r="C32" s="997">
        <v>0</v>
      </c>
      <c r="D32" s="997"/>
      <c r="E32" s="997"/>
      <c r="F32" s="997"/>
      <c r="G32" s="997"/>
      <c r="H32" s="997"/>
    </row>
    <row r="33" spans="1:8" ht="11.25" customHeight="1" x14ac:dyDescent="0.3">
      <c r="A33" s="296" t="s">
        <v>398</v>
      </c>
      <c r="B33" s="297">
        <v>0</v>
      </c>
      <c r="C33" s="994">
        <v>0</v>
      </c>
      <c r="D33" s="994"/>
      <c r="E33" s="994"/>
      <c r="F33" s="994"/>
      <c r="G33" s="994"/>
      <c r="H33" s="994"/>
    </row>
    <row r="34" spans="1:8" ht="11.25" customHeight="1" x14ac:dyDescent="0.3">
      <c r="A34" s="296" t="s">
        <v>399</v>
      </c>
      <c r="B34" s="297">
        <v>52380070.509999998</v>
      </c>
      <c r="C34" s="994">
        <v>27996280.969999999</v>
      </c>
      <c r="D34" s="994"/>
      <c r="E34" s="994"/>
      <c r="F34" s="994"/>
      <c r="G34" s="994"/>
      <c r="H34" s="994"/>
    </row>
    <row r="35" spans="1:8" ht="11.25" customHeight="1" x14ac:dyDescent="0.3">
      <c r="A35" s="296" t="s">
        <v>548</v>
      </c>
      <c r="B35" s="295">
        <f>SUM(B36:B37)</f>
        <v>0</v>
      </c>
      <c r="C35" s="995">
        <f>SUM(C36:C37)</f>
        <v>0</v>
      </c>
      <c r="D35" s="995"/>
      <c r="E35" s="995"/>
      <c r="F35" s="995"/>
      <c r="G35" s="995"/>
      <c r="H35" s="995"/>
    </row>
    <row r="36" spans="1:8" ht="11.25" customHeight="1" x14ac:dyDescent="0.3">
      <c r="A36" s="299" t="s">
        <v>549</v>
      </c>
      <c r="B36" s="297">
        <v>0</v>
      </c>
      <c r="C36" s="994">
        <v>0</v>
      </c>
      <c r="D36" s="994"/>
      <c r="E36" s="994"/>
      <c r="F36" s="994"/>
      <c r="G36" s="994"/>
      <c r="H36" s="994"/>
    </row>
    <row r="37" spans="1:8" ht="11.25" customHeight="1" x14ac:dyDescent="0.3">
      <c r="A37" s="296" t="s">
        <v>550</v>
      </c>
      <c r="B37" s="297">
        <v>0</v>
      </c>
      <c r="C37" s="994">
        <v>0</v>
      </c>
      <c r="D37" s="994"/>
      <c r="E37" s="994"/>
      <c r="F37" s="994"/>
      <c r="G37" s="994"/>
      <c r="H37" s="994"/>
    </row>
    <row r="38" spans="1:8" ht="11.25" customHeight="1" x14ac:dyDescent="0.3">
      <c r="A38" s="299" t="s">
        <v>551</v>
      </c>
      <c r="B38" s="295">
        <f>B15-B24-B36</f>
        <v>55105767.259999998</v>
      </c>
      <c r="C38" s="995">
        <f>C15-C24-C36</f>
        <v>28422046.18</v>
      </c>
      <c r="D38" s="995"/>
      <c r="E38" s="995"/>
      <c r="F38" s="995"/>
      <c r="G38" s="995"/>
      <c r="H38" s="995"/>
    </row>
    <row r="39" spans="1:8" ht="11.25" customHeight="1" x14ac:dyDescent="0.3">
      <c r="A39" s="299" t="s">
        <v>552</v>
      </c>
      <c r="B39" s="300">
        <f>B40+B41+B42+B46+B49</f>
        <v>8235780.8799999999</v>
      </c>
      <c r="C39" s="998">
        <f>C40+C41+C42+C46+C49</f>
        <v>0</v>
      </c>
      <c r="D39" s="998"/>
      <c r="E39" s="998"/>
      <c r="F39" s="998"/>
      <c r="G39" s="998"/>
      <c r="H39" s="998"/>
    </row>
    <row r="40" spans="1:8" ht="11.25" customHeight="1" x14ac:dyDescent="0.3">
      <c r="A40" s="296" t="s">
        <v>553</v>
      </c>
      <c r="B40" s="297">
        <v>0</v>
      </c>
      <c r="C40" s="994">
        <v>0</v>
      </c>
      <c r="D40" s="994"/>
      <c r="E40" s="994"/>
      <c r="F40" s="994"/>
      <c r="G40" s="994"/>
      <c r="H40" s="994"/>
    </row>
    <row r="41" spans="1:8" ht="11.25" customHeight="1" x14ac:dyDescent="0.3">
      <c r="A41" s="299" t="s">
        <v>554</v>
      </c>
      <c r="B41" s="297">
        <v>0</v>
      </c>
      <c r="C41" s="994">
        <v>0</v>
      </c>
      <c r="D41" s="994"/>
      <c r="E41" s="994"/>
      <c r="F41" s="994"/>
      <c r="G41" s="994"/>
      <c r="H41" s="994"/>
    </row>
    <row r="42" spans="1:8" ht="11.25" customHeight="1" x14ac:dyDescent="0.3">
      <c r="A42" s="296" t="s">
        <v>489</v>
      </c>
      <c r="B42" s="301">
        <f>B43+B44+B45</f>
        <v>0</v>
      </c>
      <c r="C42" s="996">
        <f>C43+C44+C45</f>
        <v>0</v>
      </c>
      <c r="D42" s="996"/>
      <c r="E42" s="996"/>
      <c r="F42" s="996"/>
      <c r="G42" s="996"/>
      <c r="H42" s="996"/>
    </row>
    <row r="43" spans="1:8" ht="11.25" customHeight="1" x14ac:dyDescent="0.3">
      <c r="A43" s="299" t="s">
        <v>555</v>
      </c>
      <c r="B43" s="302">
        <v>0</v>
      </c>
      <c r="C43" s="994">
        <v>0</v>
      </c>
      <c r="D43" s="994"/>
      <c r="E43" s="994"/>
      <c r="F43" s="994"/>
      <c r="G43" s="994"/>
      <c r="H43" s="994"/>
    </row>
    <row r="44" spans="1:8" ht="11.25" customHeight="1" x14ac:dyDescent="0.3">
      <c r="A44" s="299" t="s">
        <v>556</v>
      </c>
      <c r="B44" s="297">
        <v>0</v>
      </c>
      <c r="C44" s="994">
        <v>0</v>
      </c>
      <c r="D44" s="994"/>
      <c r="E44" s="994"/>
      <c r="F44" s="994"/>
      <c r="G44" s="994"/>
      <c r="H44" s="994"/>
    </row>
    <row r="45" spans="1:8" ht="11.25" customHeight="1" x14ac:dyDescent="0.3">
      <c r="A45" s="296" t="s">
        <v>557</v>
      </c>
      <c r="B45" s="297">
        <v>0</v>
      </c>
      <c r="C45" s="994">
        <v>0</v>
      </c>
      <c r="D45" s="994"/>
      <c r="E45" s="994"/>
      <c r="F45" s="994"/>
      <c r="G45" s="994"/>
      <c r="H45" s="994"/>
    </row>
    <row r="46" spans="1:8" ht="11.25" customHeight="1" x14ac:dyDescent="0.3">
      <c r="A46" s="296" t="s">
        <v>558</v>
      </c>
      <c r="B46" s="303">
        <f>SUM(B47:B48)</f>
        <v>8235780.8799999999</v>
      </c>
      <c r="C46" s="999">
        <f>SUM(C47:C48)</f>
        <v>0</v>
      </c>
      <c r="D46" s="999"/>
      <c r="E46" s="999"/>
      <c r="F46" s="999"/>
      <c r="G46" s="999"/>
      <c r="H46" s="999"/>
    </row>
    <row r="47" spans="1:8" ht="11.25" customHeight="1" x14ac:dyDescent="0.3">
      <c r="A47" s="296" t="s">
        <v>559</v>
      </c>
      <c r="B47" s="297">
        <v>0</v>
      </c>
      <c r="C47" s="994">
        <v>0</v>
      </c>
      <c r="D47" s="994"/>
      <c r="E47" s="994"/>
      <c r="F47" s="994"/>
      <c r="G47" s="994"/>
      <c r="H47" s="994"/>
    </row>
    <row r="48" spans="1:8" ht="11.25" customHeight="1" x14ac:dyDescent="0.3">
      <c r="A48" s="296" t="s">
        <v>560</v>
      </c>
      <c r="B48" s="297">
        <v>8235780.8799999999</v>
      </c>
      <c r="C48" s="994">
        <v>0</v>
      </c>
      <c r="D48" s="994"/>
      <c r="E48" s="994"/>
      <c r="F48" s="994"/>
      <c r="G48" s="994"/>
      <c r="H48" s="994"/>
    </row>
    <row r="49" spans="1:8" ht="11.25" customHeight="1" x14ac:dyDescent="0.3">
      <c r="A49" s="296" t="s">
        <v>491</v>
      </c>
      <c r="B49" s="295">
        <f>B50+B51</f>
        <v>0</v>
      </c>
      <c r="C49" s="996">
        <f>C50+C51</f>
        <v>0</v>
      </c>
      <c r="D49" s="996"/>
      <c r="E49" s="996"/>
      <c r="F49" s="996"/>
      <c r="G49" s="996"/>
      <c r="H49" s="996"/>
    </row>
    <row r="50" spans="1:8" ht="11.25" customHeight="1" x14ac:dyDescent="0.3">
      <c r="A50" s="299" t="s">
        <v>561</v>
      </c>
      <c r="B50" s="297">
        <v>0</v>
      </c>
      <c r="C50" s="994">
        <v>0</v>
      </c>
      <c r="D50" s="994"/>
      <c r="E50" s="994"/>
      <c r="F50" s="994"/>
      <c r="G50" s="994"/>
      <c r="H50" s="994"/>
    </row>
    <row r="51" spans="1:8" ht="11.25" customHeight="1" x14ac:dyDescent="0.3">
      <c r="A51" s="296" t="s">
        <v>562</v>
      </c>
      <c r="B51" s="297">
        <v>0</v>
      </c>
      <c r="C51" s="994">
        <v>0</v>
      </c>
      <c r="D51" s="994"/>
      <c r="E51" s="994"/>
      <c r="F51" s="994"/>
      <c r="G51" s="994"/>
      <c r="H51" s="994"/>
    </row>
    <row r="52" spans="1:8" ht="14.65" customHeight="1" x14ac:dyDescent="0.3">
      <c r="A52" s="299" t="s">
        <v>563</v>
      </c>
      <c r="B52" s="304">
        <f>B39-B40-B41-B43-B44-B50</f>
        <v>8235780.8799999999</v>
      </c>
      <c r="C52" s="1000">
        <f>C39-C40-C41-C43-C44-C50</f>
        <v>0</v>
      </c>
      <c r="D52" s="1000"/>
      <c r="E52" s="1000"/>
      <c r="F52" s="1000"/>
      <c r="G52" s="1000"/>
      <c r="H52" s="1000"/>
    </row>
    <row r="53" spans="1:8" ht="11.25" customHeight="1" x14ac:dyDescent="0.3">
      <c r="A53" s="305" t="s">
        <v>564</v>
      </c>
      <c r="B53" s="306">
        <f>B38+B52</f>
        <v>63341548.140000001</v>
      </c>
      <c r="C53" s="307"/>
      <c r="D53" s="308"/>
      <c r="E53" s="309"/>
      <c r="F53" s="309"/>
      <c r="G53" s="309"/>
      <c r="H53" s="310"/>
    </row>
    <row r="54" spans="1:8" ht="11.25" customHeight="1" x14ac:dyDescent="0.3">
      <c r="A54" s="311"/>
      <c r="B54" s="312"/>
      <c r="C54" s="313"/>
      <c r="D54" s="313"/>
      <c r="E54" s="286"/>
      <c r="F54" s="284"/>
      <c r="G54" s="284"/>
      <c r="H54" s="314"/>
    </row>
    <row r="55" spans="1:8" ht="11.25" customHeight="1" x14ac:dyDescent="0.3">
      <c r="A55" s="1001" t="s">
        <v>565</v>
      </c>
      <c r="B55" s="988" t="s">
        <v>566</v>
      </c>
      <c r="C55" s="1002" t="s">
        <v>541</v>
      </c>
      <c r="D55" s="1002"/>
      <c r="E55" s="1002"/>
      <c r="F55" s="1002"/>
      <c r="G55" s="1002"/>
      <c r="H55" s="1002"/>
    </row>
    <row r="56" spans="1:8" ht="11.25" customHeight="1" x14ac:dyDescent="0.25">
      <c r="A56" s="1001"/>
      <c r="B56" s="988"/>
      <c r="C56" s="1003" t="s">
        <v>567</v>
      </c>
      <c r="D56" s="1003" t="s">
        <v>127</v>
      </c>
      <c r="E56" s="1004" t="s">
        <v>568</v>
      </c>
      <c r="F56" s="1005" t="s">
        <v>569</v>
      </c>
      <c r="G56" s="988" t="s">
        <v>570</v>
      </c>
      <c r="H56" s="988"/>
    </row>
    <row r="57" spans="1:8" ht="11.25" customHeight="1" x14ac:dyDescent="0.25">
      <c r="A57" s="1001"/>
      <c r="B57" s="988"/>
      <c r="C57" s="1003"/>
      <c r="D57" s="1003"/>
      <c r="E57" s="1003"/>
      <c r="F57" s="1005"/>
      <c r="G57" s="988"/>
      <c r="H57" s="988"/>
    </row>
    <row r="58" spans="1:8" ht="25.5" customHeight="1" x14ac:dyDescent="0.25">
      <c r="A58" s="1001"/>
      <c r="B58" s="988"/>
      <c r="C58" s="1003"/>
      <c r="D58" s="1003"/>
      <c r="E58" s="1003"/>
      <c r="F58" s="315" t="s">
        <v>571</v>
      </c>
      <c r="G58" s="988"/>
      <c r="H58" s="988"/>
    </row>
    <row r="59" spans="1:8" ht="11.25" customHeight="1" x14ac:dyDescent="0.25">
      <c r="A59" s="1001"/>
      <c r="B59" s="988"/>
      <c r="C59" s="1003"/>
      <c r="D59" s="1003"/>
      <c r="E59" s="316" t="s">
        <v>40</v>
      </c>
      <c r="F59" s="315" t="s">
        <v>41</v>
      </c>
      <c r="G59" s="317" t="s">
        <v>572</v>
      </c>
      <c r="H59" s="289" t="s">
        <v>573</v>
      </c>
    </row>
    <row r="60" spans="1:8" ht="11.25" customHeight="1" x14ac:dyDescent="0.3">
      <c r="A60" s="299" t="s">
        <v>574</v>
      </c>
      <c r="B60" s="318">
        <f t="shared" ref="B60:H60" si="0">SUM(B61:B63)</f>
        <v>44235634.390000001</v>
      </c>
      <c r="C60" s="319">
        <f t="shared" si="0"/>
        <v>23461580.800000001</v>
      </c>
      <c r="D60" s="320">
        <f t="shared" si="0"/>
        <v>23461580.800000001</v>
      </c>
      <c r="E60" s="321">
        <f t="shared" si="0"/>
        <v>0</v>
      </c>
      <c r="F60" s="322">
        <f t="shared" si="0"/>
        <v>0</v>
      </c>
      <c r="G60" s="322">
        <f t="shared" si="0"/>
        <v>0</v>
      </c>
      <c r="H60" s="323">
        <f t="shared" si="0"/>
        <v>0</v>
      </c>
    </row>
    <row r="61" spans="1:8" ht="11.25" customHeight="1" x14ac:dyDescent="0.3">
      <c r="A61" s="296" t="s">
        <v>575</v>
      </c>
      <c r="B61" s="324">
        <v>28875091.059999999</v>
      </c>
      <c r="C61" s="325">
        <v>23461580.800000001</v>
      </c>
      <c r="D61" s="326">
        <v>23461580.800000001</v>
      </c>
      <c r="E61" s="327"/>
      <c r="F61" s="328">
        <v>0</v>
      </c>
      <c r="G61" s="328">
        <v>0</v>
      </c>
      <c r="H61" s="329">
        <v>0</v>
      </c>
    </row>
    <row r="62" spans="1:8" ht="11.25" customHeight="1" x14ac:dyDescent="0.3">
      <c r="A62" s="299" t="s">
        <v>576</v>
      </c>
      <c r="B62" s="326">
        <v>0</v>
      </c>
      <c r="C62" s="325">
        <v>0</v>
      </c>
      <c r="D62" s="326">
        <v>0</v>
      </c>
      <c r="E62" s="327">
        <v>0</v>
      </c>
      <c r="F62" s="330">
        <v>0</v>
      </c>
      <c r="G62" s="328">
        <v>0</v>
      </c>
      <c r="H62" s="329">
        <v>0</v>
      </c>
    </row>
    <row r="63" spans="1:8" ht="11.25" customHeight="1" x14ac:dyDescent="0.3">
      <c r="A63" s="296" t="s">
        <v>577</v>
      </c>
      <c r="B63" s="324">
        <v>15360543.33</v>
      </c>
      <c r="C63" s="325"/>
      <c r="D63" s="326"/>
      <c r="E63" s="327">
        <v>0</v>
      </c>
      <c r="F63" s="330">
        <v>0</v>
      </c>
      <c r="G63" s="328">
        <v>0</v>
      </c>
      <c r="H63" s="329">
        <v>0</v>
      </c>
    </row>
    <row r="64" spans="1:8" ht="11.25" customHeight="1" x14ac:dyDescent="0.3">
      <c r="A64" s="299" t="s">
        <v>578</v>
      </c>
      <c r="B64" s="331">
        <f t="shared" ref="B64:H64" si="1">B60-B62</f>
        <v>44235634.390000001</v>
      </c>
      <c r="C64" s="331">
        <f t="shared" si="1"/>
        <v>23461580.800000001</v>
      </c>
      <c r="D64" s="331">
        <f t="shared" si="1"/>
        <v>23461580.800000001</v>
      </c>
      <c r="E64" s="331">
        <f t="shared" si="1"/>
        <v>0</v>
      </c>
      <c r="F64" s="331">
        <f t="shared" si="1"/>
        <v>0</v>
      </c>
      <c r="G64" s="331">
        <f t="shared" si="1"/>
        <v>0</v>
      </c>
      <c r="H64" s="331">
        <f t="shared" si="1"/>
        <v>0</v>
      </c>
    </row>
    <row r="65" spans="1:8" ht="11.25" customHeight="1" x14ac:dyDescent="0.3">
      <c r="A65" s="299" t="s">
        <v>579</v>
      </c>
      <c r="B65" s="320">
        <f t="shared" ref="B65:H65" si="2">B66+B67+B72</f>
        <v>5704703.3600000003</v>
      </c>
      <c r="C65" s="320">
        <f t="shared" si="2"/>
        <v>1371734.17</v>
      </c>
      <c r="D65" s="320">
        <f t="shared" si="2"/>
        <v>1371734.17</v>
      </c>
      <c r="E65" s="320">
        <f t="shared" si="2"/>
        <v>0</v>
      </c>
      <c r="F65" s="320">
        <f t="shared" si="2"/>
        <v>0</v>
      </c>
      <c r="G65" s="320">
        <f t="shared" si="2"/>
        <v>0</v>
      </c>
      <c r="H65" s="320">
        <f t="shared" si="2"/>
        <v>0</v>
      </c>
    </row>
    <row r="66" spans="1:8" ht="11.25" customHeight="1" x14ac:dyDescent="0.3">
      <c r="A66" s="298" t="s">
        <v>580</v>
      </c>
      <c r="B66" s="327">
        <v>5704703.3600000003</v>
      </c>
      <c r="C66" s="330">
        <v>1371734.17</v>
      </c>
      <c r="D66" s="328">
        <v>1371734.17</v>
      </c>
      <c r="E66" s="327">
        <v>0</v>
      </c>
      <c r="F66" s="330">
        <v>0</v>
      </c>
      <c r="G66" s="328">
        <v>0</v>
      </c>
      <c r="H66" s="329">
        <v>0</v>
      </c>
    </row>
    <row r="67" spans="1:8" ht="11.25" customHeight="1" x14ac:dyDescent="0.3">
      <c r="A67" s="296" t="s">
        <v>581</v>
      </c>
      <c r="B67" s="320">
        <f t="shared" ref="B67:H67" si="3">B68+B69+B70+B71</f>
        <v>0</v>
      </c>
      <c r="C67" s="320">
        <f t="shared" si="3"/>
        <v>0</v>
      </c>
      <c r="D67" s="320">
        <f t="shared" si="3"/>
        <v>0</v>
      </c>
      <c r="E67" s="320">
        <f t="shared" si="3"/>
        <v>0</v>
      </c>
      <c r="F67" s="320">
        <f t="shared" si="3"/>
        <v>0</v>
      </c>
      <c r="G67" s="320">
        <f t="shared" si="3"/>
        <v>0</v>
      </c>
      <c r="H67" s="320">
        <f t="shared" si="3"/>
        <v>0</v>
      </c>
    </row>
    <row r="68" spans="1:8" ht="14.65" customHeight="1" x14ac:dyDescent="0.3">
      <c r="A68" s="299" t="s">
        <v>582</v>
      </c>
      <c r="B68" s="326">
        <v>0</v>
      </c>
      <c r="C68" s="325">
        <v>0</v>
      </c>
      <c r="D68" s="326">
        <v>0</v>
      </c>
      <c r="E68" s="327">
        <v>0</v>
      </c>
      <c r="F68" s="330">
        <v>0</v>
      </c>
      <c r="G68" s="328">
        <v>0</v>
      </c>
      <c r="H68" s="329">
        <v>0</v>
      </c>
    </row>
    <row r="69" spans="1:8" ht="14.65" customHeight="1" x14ac:dyDescent="0.3">
      <c r="A69" s="299" t="s">
        <v>583</v>
      </c>
      <c r="B69" s="326">
        <v>0</v>
      </c>
      <c r="C69" s="325">
        <v>0</v>
      </c>
      <c r="D69" s="326">
        <v>0</v>
      </c>
      <c r="E69" s="327">
        <v>0</v>
      </c>
      <c r="F69" s="330">
        <v>0</v>
      </c>
      <c r="G69" s="328">
        <v>0</v>
      </c>
      <c r="H69" s="329">
        <v>0</v>
      </c>
    </row>
    <row r="70" spans="1:8" ht="11.25" customHeight="1" x14ac:dyDescent="0.3">
      <c r="A70" s="299" t="s">
        <v>584</v>
      </c>
      <c r="B70" s="326">
        <v>0</v>
      </c>
      <c r="C70" s="325">
        <v>0</v>
      </c>
      <c r="D70" s="326">
        <v>0</v>
      </c>
      <c r="E70" s="327">
        <v>0</v>
      </c>
      <c r="F70" s="330">
        <v>0</v>
      </c>
      <c r="G70" s="328">
        <v>0</v>
      </c>
      <c r="H70" s="329">
        <v>0</v>
      </c>
    </row>
    <row r="71" spans="1:8" ht="14.65" customHeight="1" x14ac:dyDescent="0.3">
      <c r="A71" s="296" t="s">
        <v>585</v>
      </c>
      <c r="B71" s="326">
        <v>0</v>
      </c>
      <c r="C71" s="325">
        <v>0</v>
      </c>
      <c r="D71" s="326">
        <v>0</v>
      </c>
      <c r="E71" s="327">
        <v>0</v>
      </c>
      <c r="F71" s="330">
        <v>0</v>
      </c>
      <c r="G71" s="328">
        <v>0</v>
      </c>
      <c r="H71" s="329">
        <v>0</v>
      </c>
    </row>
    <row r="72" spans="1:8" ht="14.65" customHeight="1" x14ac:dyDescent="0.3">
      <c r="A72" s="299" t="s">
        <v>586</v>
      </c>
      <c r="B72" s="326">
        <v>0</v>
      </c>
      <c r="C72" s="325">
        <v>0</v>
      </c>
      <c r="D72" s="326">
        <v>0</v>
      </c>
      <c r="E72" s="327">
        <v>0</v>
      </c>
      <c r="F72" s="330">
        <v>0</v>
      </c>
      <c r="G72" s="328">
        <v>0</v>
      </c>
      <c r="H72" s="329">
        <v>0</v>
      </c>
    </row>
    <row r="73" spans="1:8" ht="14.65" customHeight="1" x14ac:dyDescent="0.3">
      <c r="A73" s="299" t="s">
        <v>587</v>
      </c>
      <c r="B73" s="332">
        <f t="shared" ref="B73:H73" si="4">B65-B68-B69-B70-B72</f>
        <v>5704703.3600000003</v>
      </c>
      <c r="C73" s="332">
        <f t="shared" si="4"/>
        <v>1371734.17</v>
      </c>
      <c r="D73" s="332">
        <f t="shared" si="4"/>
        <v>1371734.17</v>
      </c>
      <c r="E73" s="332">
        <f t="shared" si="4"/>
        <v>0</v>
      </c>
      <c r="F73" s="332">
        <f t="shared" si="4"/>
        <v>0</v>
      </c>
      <c r="G73" s="332">
        <f t="shared" si="4"/>
        <v>0</v>
      </c>
      <c r="H73" s="332">
        <f t="shared" si="4"/>
        <v>0</v>
      </c>
    </row>
    <row r="74" spans="1:8" ht="14.65" customHeight="1" x14ac:dyDescent="0.3">
      <c r="A74" s="299" t="s">
        <v>588</v>
      </c>
      <c r="B74" s="333"/>
      <c r="C74" s="334"/>
      <c r="D74" s="335"/>
      <c r="E74" s="336"/>
      <c r="F74" s="334"/>
      <c r="G74" s="334"/>
      <c r="H74" s="335"/>
    </row>
    <row r="75" spans="1:8" ht="11.25" customHeight="1" x14ac:dyDescent="0.3">
      <c r="A75" s="337" t="s">
        <v>589</v>
      </c>
      <c r="B75" s="338">
        <f t="shared" ref="B75:H75" si="5">B64+B73+B74</f>
        <v>49940337.75</v>
      </c>
      <c r="C75" s="338">
        <f t="shared" si="5"/>
        <v>24833314.969999999</v>
      </c>
      <c r="D75" s="338">
        <f t="shared" si="5"/>
        <v>24833314.969999999</v>
      </c>
      <c r="E75" s="338">
        <f t="shared" si="5"/>
        <v>0</v>
      </c>
      <c r="F75" s="338">
        <f t="shared" si="5"/>
        <v>0</v>
      </c>
      <c r="G75" s="338">
        <f t="shared" si="5"/>
        <v>0</v>
      </c>
      <c r="H75" s="338">
        <f t="shared" si="5"/>
        <v>0</v>
      </c>
    </row>
    <row r="76" spans="1:8" ht="11.25" customHeight="1" x14ac:dyDescent="0.3">
      <c r="A76" s="339"/>
      <c r="B76" s="340"/>
      <c r="C76" s="341"/>
      <c r="D76" s="342"/>
      <c r="E76" s="286"/>
      <c r="F76" s="286"/>
      <c r="G76" s="286"/>
      <c r="H76" s="314"/>
    </row>
    <row r="77" spans="1:8" ht="11.25" customHeight="1" x14ac:dyDescent="0.3">
      <c r="A77" s="343" t="s">
        <v>590</v>
      </c>
      <c r="B77" s="1006">
        <v>0</v>
      </c>
      <c r="C77" s="1006"/>
      <c r="D77" s="1006"/>
      <c r="E77" s="1006"/>
      <c r="F77" s="1006"/>
      <c r="G77" s="1006"/>
      <c r="H77" s="1006"/>
    </row>
    <row r="78" spans="1:8" ht="11.25" customHeight="1" x14ac:dyDescent="0.3">
      <c r="A78" s="344"/>
      <c r="B78" s="345"/>
      <c r="C78" s="345"/>
      <c r="D78" s="345"/>
      <c r="E78" s="345"/>
      <c r="F78" s="345"/>
      <c r="G78" s="345"/>
      <c r="H78" s="345"/>
    </row>
    <row r="79" spans="1:8" ht="11.25" customHeight="1" x14ac:dyDescent="0.25">
      <c r="A79" s="1007" t="s">
        <v>591</v>
      </c>
      <c r="B79" s="1008" t="s">
        <v>533</v>
      </c>
      <c r="C79" s="1008"/>
      <c r="D79" s="1008"/>
      <c r="E79" s="1008"/>
      <c r="F79" s="1008"/>
      <c r="G79" s="1008"/>
      <c r="H79" s="1008"/>
    </row>
    <row r="80" spans="1:8" ht="11.25" customHeight="1" x14ac:dyDescent="0.25">
      <c r="A80" s="1007"/>
      <c r="B80" s="1008"/>
      <c r="C80" s="1008"/>
      <c r="D80" s="1008"/>
      <c r="E80" s="1008"/>
      <c r="F80" s="1008"/>
      <c r="G80" s="1008"/>
      <c r="H80" s="1008"/>
    </row>
    <row r="81" spans="1:8" ht="11.25" customHeight="1" x14ac:dyDescent="0.3">
      <c r="A81" s="346" t="s">
        <v>592</v>
      </c>
      <c r="B81" s="1009">
        <v>0</v>
      </c>
      <c r="C81" s="1009"/>
      <c r="D81" s="1009"/>
      <c r="E81" s="1009"/>
      <c r="F81" s="1009"/>
      <c r="G81" s="1009"/>
      <c r="H81" s="1009"/>
    </row>
    <row r="82" spans="1:8" ht="11.25" customHeight="1" x14ac:dyDescent="0.3">
      <c r="A82" s="344"/>
      <c r="B82" s="347"/>
      <c r="C82" s="347"/>
      <c r="D82" s="347"/>
      <c r="E82" s="347"/>
      <c r="F82" s="347"/>
      <c r="G82" s="347"/>
      <c r="H82" s="347"/>
    </row>
    <row r="83" spans="1:8" ht="11.25" customHeight="1" x14ac:dyDescent="0.25">
      <c r="A83" s="348"/>
      <c r="B83" s="989" t="s">
        <v>541</v>
      </c>
      <c r="C83" s="989"/>
      <c r="D83" s="989"/>
      <c r="E83" s="989"/>
      <c r="F83" s="989"/>
      <c r="G83" s="989"/>
      <c r="H83" s="989"/>
    </row>
    <row r="84" spans="1:8" ht="11.25" customHeight="1" x14ac:dyDescent="0.25">
      <c r="A84" s="290" t="s">
        <v>593</v>
      </c>
      <c r="B84" s="989" t="s">
        <v>594</v>
      </c>
      <c r="C84" s="989"/>
      <c r="D84" s="989"/>
      <c r="E84" s="989"/>
      <c r="F84" s="989"/>
      <c r="G84" s="989"/>
      <c r="H84" s="989"/>
    </row>
    <row r="85" spans="1:8" ht="11.25" customHeight="1" x14ac:dyDescent="0.25">
      <c r="A85" s="349"/>
      <c r="B85" s="989"/>
      <c r="C85" s="989"/>
      <c r="D85" s="989"/>
      <c r="E85" s="989"/>
      <c r="F85" s="989"/>
      <c r="G85" s="989"/>
      <c r="H85" s="989"/>
    </row>
    <row r="86" spans="1:8" ht="11.25" customHeight="1" x14ac:dyDescent="0.3">
      <c r="A86" s="296" t="s">
        <v>595</v>
      </c>
      <c r="B86" s="1010">
        <v>0</v>
      </c>
      <c r="C86" s="1010"/>
      <c r="D86" s="1010"/>
      <c r="E86" s="1010"/>
      <c r="F86" s="1010"/>
      <c r="G86" s="1010"/>
      <c r="H86" s="1010"/>
    </row>
    <row r="87" spans="1:8" ht="11.25" customHeight="1" x14ac:dyDescent="0.3">
      <c r="A87" s="350" t="s">
        <v>596</v>
      </c>
      <c r="B87" s="1010">
        <v>0</v>
      </c>
      <c r="C87" s="1010"/>
      <c r="D87" s="1010"/>
      <c r="E87" s="1010"/>
      <c r="F87" s="1010"/>
      <c r="G87" s="1010"/>
      <c r="H87" s="1010"/>
    </row>
    <row r="88" spans="1:8" ht="11.25" customHeight="1" x14ac:dyDescent="0.3">
      <c r="A88" s="296"/>
      <c r="B88" s="313"/>
      <c r="C88" s="313"/>
      <c r="D88" s="313"/>
      <c r="E88" s="286"/>
      <c r="F88" s="286"/>
      <c r="G88" s="286"/>
      <c r="H88" s="314"/>
    </row>
    <row r="89" spans="1:8" ht="11.25" customHeight="1" x14ac:dyDescent="0.3">
      <c r="A89" s="343" t="s">
        <v>597</v>
      </c>
      <c r="B89" s="1006">
        <v>0</v>
      </c>
      <c r="C89" s="1006"/>
      <c r="D89" s="1006"/>
      <c r="E89" s="1006"/>
      <c r="F89" s="1006"/>
      <c r="G89" s="1006"/>
      <c r="H89" s="1006"/>
    </row>
    <row r="90" spans="1:8" ht="11.25" customHeight="1" x14ac:dyDescent="0.25">
      <c r="A90" s="351"/>
      <c r="B90" s="286"/>
      <c r="C90" s="286"/>
      <c r="D90" s="286"/>
      <c r="E90" s="286"/>
      <c r="F90" s="286"/>
      <c r="G90" s="286"/>
      <c r="H90" s="314"/>
    </row>
    <row r="91" spans="1:8" ht="11.25" customHeight="1" x14ac:dyDescent="0.25">
      <c r="A91" s="1007" t="s">
        <v>598</v>
      </c>
      <c r="B91" s="1008" t="s">
        <v>533</v>
      </c>
      <c r="C91" s="1008"/>
      <c r="D91" s="1008"/>
      <c r="E91" s="1008"/>
      <c r="F91" s="1008"/>
      <c r="G91" s="1008"/>
      <c r="H91" s="1008"/>
    </row>
    <row r="92" spans="1:8" ht="11.25" customHeight="1" x14ac:dyDescent="0.25">
      <c r="A92" s="1007"/>
      <c r="B92" s="1008"/>
      <c r="C92" s="1008"/>
      <c r="D92" s="1008"/>
      <c r="E92" s="1008"/>
      <c r="F92" s="1008"/>
      <c r="G92" s="1008"/>
      <c r="H92" s="1008"/>
    </row>
    <row r="93" spans="1:8" ht="11.25" customHeight="1" x14ac:dyDescent="0.3">
      <c r="A93" s="352" t="s">
        <v>592</v>
      </c>
      <c r="B93" s="1011">
        <v>0</v>
      </c>
      <c r="C93" s="1011"/>
      <c r="D93" s="1011"/>
      <c r="E93" s="1011"/>
      <c r="F93" s="1011"/>
      <c r="G93" s="1011"/>
      <c r="H93" s="1011"/>
    </row>
    <row r="94" spans="1:8" ht="11.25" customHeight="1" x14ac:dyDescent="0.25">
      <c r="A94" s="351"/>
      <c r="B94" s="286"/>
      <c r="C94" s="286"/>
      <c r="D94" s="286"/>
      <c r="E94" s="286"/>
      <c r="F94" s="286"/>
      <c r="G94" s="286"/>
      <c r="H94" s="314"/>
    </row>
    <row r="95" spans="1:8" ht="11.25" customHeight="1" x14ac:dyDescent="0.25">
      <c r="A95" s="987" t="s">
        <v>599</v>
      </c>
      <c r="B95" s="987"/>
      <c r="C95" s="987"/>
      <c r="D95" s="987"/>
      <c r="E95" s="987"/>
      <c r="F95" s="987"/>
      <c r="G95" s="987"/>
      <c r="H95" s="987"/>
    </row>
    <row r="96" spans="1:8" ht="11.25" customHeight="1" x14ac:dyDescent="0.25">
      <c r="A96" s="987"/>
      <c r="B96" s="987"/>
      <c r="C96" s="987"/>
      <c r="D96" s="987"/>
      <c r="E96" s="987"/>
      <c r="F96" s="987"/>
      <c r="G96" s="987"/>
      <c r="H96" s="987"/>
    </row>
    <row r="97" spans="1:8" ht="11.25" customHeight="1" x14ac:dyDescent="0.25">
      <c r="A97" s="288"/>
      <c r="B97" s="1012" t="s">
        <v>36</v>
      </c>
      <c r="C97" s="1012"/>
      <c r="D97" s="1012"/>
      <c r="E97" s="1012"/>
      <c r="F97" s="1012"/>
      <c r="G97" s="1012"/>
      <c r="H97" s="1012"/>
    </row>
    <row r="98" spans="1:8" ht="11.25" customHeight="1" x14ac:dyDescent="0.3">
      <c r="A98" s="290" t="s">
        <v>600</v>
      </c>
      <c r="B98" s="1013" t="s">
        <v>517</v>
      </c>
      <c r="C98" s="1013"/>
      <c r="D98" s="1013"/>
      <c r="E98" s="1013"/>
      <c r="F98" s="1014" t="s">
        <v>601</v>
      </c>
      <c r="G98" s="1014"/>
      <c r="H98" s="1014"/>
    </row>
    <row r="99" spans="1:8" ht="11.25" customHeight="1" x14ac:dyDescent="0.25">
      <c r="A99" s="291"/>
      <c r="B99" s="1003" t="s">
        <v>40</v>
      </c>
      <c r="C99" s="1003"/>
      <c r="D99" s="1003"/>
      <c r="E99" s="1003"/>
      <c r="F99" s="1015" t="s">
        <v>41</v>
      </c>
      <c r="G99" s="1015"/>
      <c r="H99" s="1015"/>
    </row>
    <row r="100" spans="1:8" ht="11.25" customHeight="1" x14ac:dyDescent="0.3">
      <c r="A100" s="296" t="s">
        <v>602</v>
      </c>
      <c r="B100" s="1016">
        <v>0</v>
      </c>
      <c r="C100" s="1016"/>
      <c r="D100" s="1016"/>
      <c r="E100" s="1016"/>
      <c r="F100" s="1017">
        <v>0</v>
      </c>
      <c r="G100" s="1017"/>
      <c r="H100" s="1017"/>
    </row>
    <row r="101" spans="1:8" ht="11.25" customHeight="1" x14ac:dyDescent="0.3">
      <c r="A101" s="296" t="s">
        <v>603</v>
      </c>
      <c r="B101" s="1016">
        <v>0</v>
      </c>
      <c r="C101" s="1016"/>
      <c r="D101" s="1016"/>
      <c r="E101" s="1016"/>
      <c r="F101" s="1017">
        <v>0</v>
      </c>
      <c r="G101" s="1017"/>
      <c r="H101" s="1017"/>
    </row>
    <row r="102" spans="1:8" ht="11.25" customHeight="1" x14ac:dyDescent="0.25">
      <c r="A102" s="353" t="s">
        <v>521</v>
      </c>
      <c r="B102" s="1016">
        <v>1509720.13</v>
      </c>
      <c r="C102" s="1016"/>
      <c r="D102" s="1016"/>
      <c r="E102" s="1016"/>
      <c r="F102" s="1017">
        <v>261549398</v>
      </c>
      <c r="G102" s="1017"/>
      <c r="H102" s="1017"/>
    </row>
    <row r="103" spans="1:8" ht="11.25" customHeight="1" x14ac:dyDescent="0.25">
      <c r="A103" s="353" t="s">
        <v>604</v>
      </c>
      <c r="B103" s="1016">
        <v>0</v>
      </c>
      <c r="C103" s="1016"/>
      <c r="D103" s="1016"/>
      <c r="E103" s="1016"/>
      <c r="F103" s="1017">
        <v>0</v>
      </c>
      <c r="G103" s="1017"/>
      <c r="H103" s="1017"/>
    </row>
    <row r="104" spans="1:8" ht="11.25" customHeight="1" x14ac:dyDescent="0.25">
      <c r="A104" s="353" t="s">
        <v>605</v>
      </c>
      <c r="B104" s="1016">
        <v>-1892160.09</v>
      </c>
      <c r="C104" s="1016"/>
      <c r="D104" s="1016"/>
      <c r="E104" s="1016"/>
      <c r="F104" s="1017">
        <v>-1085159.8</v>
      </c>
      <c r="G104" s="1017"/>
      <c r="H104" s="1017"/>
    </row>
    <row r="105" spans="1:8" ht="11.25" customHeight="1" x14ac:dyDescent="0.25">
      <c r="A105" s="353" t="s">
        <v>524</v>
      </c>
      <c r="B105" s="1016">
        <v>-4081157.59</v>
      </c>
      <c r="C105" s="1016"/>
      <c r="D105" s="1016"/>
      <c r="E105" s="1016"/>
      <c r="F105" s="1017">
        <v>-5349398.9400000004</v>
      </c>
      <c r="G105" s="1017"/>
      <c r="H105" s="1017"/>
    </row>
    <row r="106" spans="1:8" ht="11.25" customHeight="1" x14ac:dyDescent="0.3">
      <c r="A106" s="296" t="s">
        <v>606</v>
      </c>
      <c r="B106" s="1018">
        <v>0</v>
      </c>
      <c r="C106" s="1018"/>
      <c r="D106" s="1018"/>
      <c r="E106" s="1018"/>
      <c r="F106" s="1017">
        <v>0</v>
      </c>
      <c r="G106" s="1017"/>
      <c r="H106" s="1017"/>
    </row>
    <row r="107" spans="1:8" ht="11.25" customHeight="1" x14ac:dyDescent="0.25">
      <c r="A107" s="354" t="s">
        <v>607</v>
      </c>
      <c r="B107" s="1019"/>
      <c r="C107" s="1019"/>
      <c r="D107" s="1019"/>
      <c r="E107" s="1019"/>
      <c r="F107" s="1020">
        <v>0</v>
      </c>
      <c r="G107" s="1020"/>
      <c r="H107" s="1020"/>
    </row>
    <row r="108" spans="1:8" ht="11.25" customHeight="1" x14ac:dyDescent="0.3">
      <c r="A108" s="355"/>
      <c r="B108" s="356"/>
      <c r="C108" s="357"/>
      <c r="D108" s="357"/>
      <c r="E108" s="357"/>
      <c r="F108" s="357"/>
      <c r="G108" s="357"/>
      <c r="H108" s="358"/>
    </row>
    <row r="109" spans="1:8" ht="11.25" customHeight="1" x14ac:dyDescent="0.25">
      <c r="A109" s="359"/>
      <c r="B109" s="989" t="s">
        <v>541</v>
      </c>
      <c r="C109" s="989"/>
      <c r="D109" s="989"/>
      <c r="E109" s="989"/>
      <c r="F109" s="989"/>
      <c r="G109" s="989"/>
      <c r="H109" s="989"/>
    </row>
    <row r="110" spans="1:8" ht="11.25" customHeight="1" x14ac:dyDescent="0.25">
      <c r="A110" s="360" t="s">
        <v>608</v>
      </c>
      <c r="B110" s="989"/>
      <c r="C110" s="989"/>
      <c r="D110" s="989"/>
      <c r="E110" s="989"/>
      <c r="F110" s="989"/>
      <c r="G110" s="989"/>
      <c r="H110" s="989"/>
    </row>
    <row r="111" spans="1:8" ht="11.25" customHeight="1" x14ac:dyDescent="0.25">
      <c r="A111" s="361"/>
      <c r="B111" s="989"/>
      <c r="C111" s="989"/>
      <c r="D111" s="989"/>
      <c r="E111" s="989"/>
      <c r="F111" s="989"/>
      <c r="G111" s="989"/>
      <c r="H111" s="989"/>
    </row>
    <row r="112" spans="1:8" ht="11.25" customHeight="1" x14ac:dyDescent="0.3">
      <c r="A112" s="362" t="s">
        <v>609</v>
      </c>
      <c r="B112" s="1016">
        <v>0</v>
      </c>
      <c r="C112" s="1016"/>
      <c r="D112" s="1016"/>
      <c r="E112" s="1016"/>
      <c r="F112" s="1016"/>
      <c r="G112" s="1016"/>
      <c r="H112" s="1016"/>
    </row>
    <row r="113" spans="1:8" ht="11.25" customHeight="1" x14ac:dyDescent="0.3">
      <c r="A113" s="298" t="s">
        <v>610</v>
      </c>
      <c r="B113" s="1016">
        <v>0</v>
      </c>
      <c r="C113" s="1016"/>
      <c r="D113" s="1016"/>
      <c r="E113" s="1016"/>
      <c r="F113" s="1016"/>
      <c r="G113" s="1016"/>
      <c r="H113" s="1016"/>
    </row>
    <row r="114" spans="1:8" ht="11.25" customHeight="1" x14ac:dyDescent="0.3">
      <c r="A114" s="298" t="s">
        <v>611</v>
      </c>
      <c r="B114" s="1016">
        <v>0</v>
      </c>
      <c r="C114" s="1016"/>
      <c r="D114" s="1016"/>
      <c r="E114" s="1016"/>
      <c r="F114" s="1016"/>
      <c r="G114" s="1016"/>
      <c r="H114" s="1016"/>
    </row>
    <row r="115" spans="1:8" ht="11.25" customHeight="1" x14ac:dyDescent="0.3">
      <c r="A115" s="298" t="s">
        <v>612</v>
      </c>
      <c r="B115" s="1016">
        <v>0</v>
      </c>
      <c r="C115" s="1016"/>
      <c r="D115" s="1016"/>
      <c r="E115" s="1016"/>
      <c r="F115" s="1016"/>
      <c r="G115" s="1016"/>
      <c r="H115" s="1016"/>
    </row>
    <row r="116" spans="1:8" ht="26.5" customHeight="1" x14ac:dyDescent="0.25">
      <c r="A116" s="363" t="s">
        <v>613</v>
      </c>
      <c r="B116" s="1021">
        <v>0</v>
      </c>
      <c r="C116" s="1021"/>
      <c r="D116" s="1021"/>
      <c r="E116" s="1021"/>
      <c r="F116" s="1021"/>
      <c r="G116" s="1021"/>
      <c r="H116" s="1021"/>
    </row>
    <row r="117" spans="1:8" ht="11.25" customHeight="1" x14ac:dyDescent="0.25">
      <c r="A117" s="351"/>
      <c r="B117" s="286"/>
      <c r="C117" s="286"/>
      <c r="D117" s="286"/>
      <c r="E117" s="286"/>
      <c r="F117" s="286"/>
      <c r="G117" s="286"/>
      <c r="H117" s="314"/>
    </row>
    <row r="118" spans="1:8" ht="14.65" customHeight="1" x14ac:dyDescent="0.3">
      <c r="A118" s="343" t="s">
        <v>614</v>
      </c>
      <c r="B118" s="1022">
        <v>0</v>
      </c>
      <c r="C118" s="1022"/>
      <c r="D118" s="1022"/>
      <c r="E118" s="1022"/>
      <c r="F118" s="1022"/>
      <c r="G118" s="1022"/>
      <c r="H118" s="1022"/>
    </row>
    <row r="119" spans="1:8" ht="11.25" customHeight="1" x14ac:dyDescent="0.25">
      <c r="A119" s="364"/>
      <c r="B119" s="365"/>
      <c r="C119" s="286"/>
      <c r="D119" s="365"/>
      <c r="E119" s="365"/>
      <c r="F119" s="365"/>
      <c r="G119" s="365"/>
      <c r="H119" s="365"/>
    </row>
    <row r="120" spans="1:8" ht="11.25" customHeight="1" x14ac:dyDescent="0.25">
      <c r="A120" s="1001" t="s">
        <v>615</v>
      </c>
      <c r="B120" s="1023" t="s">
        <v>456</v>
      </c>
      <c r="C120" s="1023"/>
      <c r="D120" s="1023"/>
      <c r="E120" s="1023"/>
      <c r="F120" s="1023"/>
      <c r="G120" s="1023"/>
      <c r="H120" s="1023"/>
    </row>
    <row r="121" spans="1:8" ht="11.25" customHeight="1" x14ac:dyDescent="0.25">
      <c r="A121" s="1001"/>
      <c r="B121" s="1023"/>
      <c r="C121" s="1023"/>
      <c r="D121" s="1023"/>
      <c r="E121" s="1023"/>
      <c r="F121" s="1023"/>
      <c r="G121" s="1023"/>
      <c r="H121" s="1023"/>
    </row>
    <row r="122" spans="1:8" ht="11.25" customHeight="1" x14ac:dyDescent="0.3">
      <c r="A122" s="366" t="s">
        <v>616</v>
      </c>
      <c r="B122" s="1024">
        <v>0</v>
      </c>
      <c r="C122" s="1024"/>
      <c r="D122" s="1024"/>
      <c r="E122" s="1024"/>
      <c r="F122" s="1024"/>
      <c r="G122" s="1024"/>
      <c r="H122" s="1024"/>
    </row>
    <row r="123" spans="1:8" ht="11.25" customHeight="1" x14ac:dyDescent="0.3">
      <c r="A123" s="367" t="s">
        <v>121</v>
      </c>
      <c r="B123" s="1009">
        <v>0</v>
      </c>
      <c r="C123" s="1009"/>
      <c r="D123" s="1009"/>
      <c r="E123" s="1009"/>
      <c r="F123" s="1009"/>
      <c r="G123" s="1009"/>
      <c r="H123" s="1009"/>
    </row>
    <row r="124" spans="1:8" ht="11.25" customHeight="1" x14ac:dyDescent="0.3">
      <c r="A124" s="368" t="s">
        <v>617</v>
      </c>
      <c r="B124" s="1009">
        <v>0</v>
      </c>
      <c r="C124" s="1009"/>
      <c r="D124" s="1009"/>
      <c r="E124" s="1009"/>
      <c r="F124" s="1009"/>
      <c r="G124" s="1009"/>
      <c r="H124" s="1009"/>
    </row>
    <row r="125" spans="1:8" ht="11.25" customHeight="1" x14ac:dyDescent="0.3">
      <c r="A125" s="366" t="s">
        <v>458</v>
      </c>
      <c r="B125" s="1024">
        <v>0</v>
      </c>
      <c r="C125" s="1024"/>
      <c r="D125" s="1024"/>
      <c r="E125" s="1024"/>
      <c r="F125" s="1024"/>
      <c r="G125" s="1024"/>
      <c r="H125" s="1024"/>
    </row>
    <row r="126" spans="1:8" ht="11.25" customHeight="1" x14ac:dyDescent="0.25">
      <c r="A126" s="364" t="s">
        <v>160</v>
      </c>
      <c r="B126" s="365"/>
      <c r="C126" s="286"/>
      <c r="D126" s="365"/>
      <c r="E126" s="365"/>
      <c r="F126" s="365"/>
      <c r="G126" s="365"/>
      <c r="H126" s="365"/>
    </row>
    <row r="127" spans="1:8" ht="11.25" customHeight="1" x14ac:dyDescent="0.25">
      <c r="A127" s="369" t="s">
        <v>510</v>
      </c>
      <c r="B127" s="365"/>
      <c r="C127" s="286"/>
      <c r="D127" s="365"/>
      <c r="E127" s="365"/>
      <c r="F127" s="365"/>
      <c r="G127" s="365"/>
      <c r="H127" s="365"/>
    </row>
    <row r="128" spans="1:8" ht="11.25" customHeight="1" x14ac:dyDescent="0.25">
      <c r="A128" s="365"/>
      <c r="B128" s="365"/>
      <c r="C128" s="286"/>
      <c r="D128" s="365"/>
      <c r="E128" s="365"/>
      <c r="F128" s="365"/>
      <c r="G128" s="365"/>
      <c r="H128" s="365"/>
    </row>
    <row r="129" spans="1:8" ht="11.25" customHeight="1" x14ac:dyDescent="0.25">
      <c r="A129" s="1025" t="s">
        <v>618</v>
      </c>
      <c r="B129" s="1025"/>
      <c r="C129" s="1025"/>
      <c r="D129" s="1025"/>
      <c r="E129" s="1025"/>
      <c r="F129" s="1025"/>
      <c r="G129" s="1025"/>
      <c r="H129" s="1025"/>
    </row>
    <row r="130" spans="1:8" ht="11.25" customHeight="1" x14ac:dyDescent="0.25">
      <c r="A130" s="1026" t="s">
        <v>619</v>
      </c>
      <c r="B130" s="1026"/>
      <c r="C130" s="1026"/>
      <c r="D130" s="1026"/>
      <c r="E130" s="1026"/>
      <c r="F130" s="1026"/>
      <c r="G130" s="1026"/>
      <c r="H130" s="1026"/>
    </row>
    <row r="131" spans="1:8" ht="11.25" customHeight="1" x14ac:dyDescent="0.25">
      <c r="A131" s="365"/>
      <c r="B131" s="365"/>
      <c r="C131" s="286"/>
      <c r="D131" s="365"/>
      <c r="E131" s="365"/>
      <c r="F131" s="365"/>
      <c r="G131" s="365"/>
      <c r="H131" s="365"/>
    </row>
    <row r="132" spans="1:8" ht="11.25" customHeight="1" x14ac:dyDescent="0.25">
      <c r="A132" s="1027" t="s">
        <v>620</v>
      </c>
      <c r="B132" s="1027"/>
      <c r="C132" s="1027"/>
      <c r="D132" s="1027"/>
      <c r="E132" s="1027"/>
      <c r="F132" s="1027"/>
      <c r="G132" s="1027"/>
      <c r="H132" s="1027"/>
    </row>
    <row r="133" spans="1:8" ht="11.25" customHeight="1" x14ac:dyDescent="0.25">
      <c r="A133" s="1027"/>
      <c r="B133" s="1027"/>
      <c r="C133" s="1027"/>
      <c r="D133" s="1027"/>
      <c r="E133" s="1027"/>
      <c r="F133" s="1027"/>
      <c r="G133" s="1027"/>
      <c r="H133" s="1027"/>
    </row>
    <row r="134" spans="1:8" ht="11.25" customHeight="1" x14ac:dyDescent="0.25">
      <c r="A134" s="288"/>
      <c r="B134" s="989" t="s">
        <v>34</v>
      </c>
      <c r="C134" s="989"/>
      <c r="D134" s="988" t="s">
        <v>35</v>
      </c>
      <c r="E134" s="988"/>
      <c r="F134" s="988"/>
      <c r="G134" s="988"/>
      <c r="H134" s="988"/>
    </row>
    <row r="135" spans="1:8" ht="11.25" customHeight="1" x14ac:dyDescent="0.25">
      <c r="A135" s="370" t="s">
        <v>542</v>
      </c>
      <c r="B135" s="989"/>
      <c r="C135" s="989"/>
      <c r="D135" s="1028" t="s">
        <v>411</v>
      </c>
      <c r="E135" s="1028"/>
      <c r="F135" s="1029" t="s">
        <v>411</v>
      </c>
      <c r="G135" s="1029"/>
      <c r="H135" s="1029"/>
    </row>
    <row r="136" spans="1:8" ht="11.25" customHeight="1" x14ac:dyDescent="0.25">
      <c r="A136" s="291"/>
      <c r="B136" s="989"/>
      <c r="C136" s="989"/>
      <c r="D136" s="1030" t="s">
        <v>621</v>
      </c>
      <c r="E136" s="1030"/>
      <c r="F136" s="1031" t="s">
        <v>622</v>
      </c>
      <c r="G136" s="1031"/>
      <c r="H136" s="1031"/>
    </row>
    <row r="137" spans="1:8" ht="11.25" customHeight="1" x14ac:dyDescent="0.3">
      <c r="A137" s="373" t="s">
        <v>623</v>
      </c>
      <c r="B137" s="1021">
        <v>0</v>
      </c>
      <c r="C137" s="1021"/>
      <c r="D137" s="1021">
        <v>0</v>
      </c>
      <c r="E137" s="1021"/>
      <c r="F137" s="1032">
        <v>0</v>
      </c>
      <c r="G137" s="1032"/>
      <c r="H137" s="1032"/>
    </row>
    <row r="138" spans="1:8" ht="11.25" customHeight="1" x14ac:dyDescent="0.25">
      <c r="A138" s="351"/>
      <c r="B138" s="286"/>
      <c r="C138" s="286"/>
      <c r="D138" s="286"/>
      <c r="E138" s="286"/>
      <c r="F138" s="286"/>
      <c r="G138" s="286"/>
      <c r="H138" s="314"/>
    </row>
    <row r="139" spans="1:8" ht="26.5" customHeight="1" x14ac:dyDescent="0.25">
      <c r="A139" s="288"/>
      <c r="B139" s="372" t="s">
        <v>203</v>
      </c>
      <c r="C139" s="988" t="s">
        <v>126</v>
      </c>
      <c r="D139" s="988"/>
      <c r="E139" s="988" t="s">
        <v>127</v>
      </c>
      <c r="F139" s="988"/>
      <c r="G139" s="988" t="s">
        <v>195</v>
      </c>
      <c r="H139" s="988"/>
    </row>
    <row r="140" spans="1:8" ht="11.25" customHeight="1" x14ac:dyDescent="0.25">
      <c r="A140" s="370" t="s">
        <v>565</v>
      </c>
      <c r="B140" s="374" t="s">
        <v>206</v>
      </c>
      <c r="C140" s="371" t="s">
        <v>411</v>
      </c>
      <c r="D140" s="371" t="s">
        <v>411</v>
      </c>
      <c r="E140" s="371" t="s">
        <v>411</v>
      </c>
      <c r="F140" s="375" t="s">
        <v>411</v>
      </c>
      <c r="G140" s="1033" t="s">
        <v>624</v>
      </c>
      <c r="H140" s="1033" t="s">
        <v>625</v>
      </c>
    </row>
    <row r="141" spans="1:8" ht="11.25" customHeight="1" x14ac:dyDescent="0.25">
      <c r="A141" s="291"/>
      <c r="B141" s="291"/>
      <c r="C141" s="317" t="s">
        <v>621</v>
      </c>
      <c r="D141" s="376" t="s">
        <v>622</v>
      </c>
      <c r="E141" s="317" t="s">
        <v>621</v>
      </c>
      <c r="F141" s="376" t="s">
        <v>622</v>
      </c>
      <c r="G141" s="1033"/>
      <c r="H141" s="1033"/>
    </row>
    <row r="142" spans="1:8" ht="11.25" customHeight="1" x14ac:dyDescent="0.3">
      <c r="A142" s="337" t="s">
        <v>626</v>
      </c>
      <c r="B142" s="377">
        <v>0</v>
      </c>
      <c r="C142" s="378">
        <v>0</v>
      </c>
      <c r="D142" s="378">
        <v>0</v>
      </c>
      <c r="E142" s="378">
        <v>0</v>
      </c>
      <c r="F142" s="378">
        <v>0</v>
      </c>
      <c r="G142" s="378">
        <v>0</v>
      </c>
      <c r="H142" s="377">
        <v>0</v>
      </c>
    </row>
    <row r="143" spans="1:8" ht="11.25" customHeight="1" x14ac:dyDescent="0.25">
      <c r="A143" s="365"/>
      <c r="B143" s="365"/>
      <c r="C143" s="286"/>
      <c r="D143" s="365"/>
      <c r="E143" s="365"/>
      <c r="F143" s="365"/>
      <c r="G143" s="365"/>
      <c r="H143" s="365"/>
    </row>
    <row r="144" spans="1:8" ht="11.25" customHeight="1" x14ac:dyDescent="0.3">
      <c r="A144" s="337" t="s">
        <v>627</v>
      </c>
      <c r="B144" s="379">
        <v>0</v>
      </c>
      <c r="C144" s="379">
        <v>0</v>
      </c>
      <c r="D144" s="379">
        <v>0</v>
      </c>
      <c r="E144" s="379">
        <v>0</v>
      </c>
      <c r="F144" s="379">
        <v>0</v>
      </c>
      <c r="G144" s="380">
        <v>0</v>
      </c>
      <c r="H144" s="381">
        <v>0</v>
      </c>
    </row>
    <row r="145" spans="1:8" ht="11.25" customHeight="1" x14ac:dyDescent="0.3">
      <c r="A145" s="382"/>
      <c r="B145" s="340"/>
      <c r="C145" s="341"/>
      <c r="D145" s="341"/>
      <c r="E145" s="365"/>
      <c r="F145" s="286"/>
      <c r="G145" s="365"/>
      <c r="H145" s="286"/>
    </row>
    <row r="146" spans="1:8" ht="11.25" customHeight="1" x14ac:dyDescent="0.25">
      <c r="A146" s="1034" t="s">
        <v>628</v>
      </c>
      <c r="B146" s="1034"/>
      <c r="C146" s="1034"/>
      <c r="D146" s="1034"/>
      <c r="E146" s="1008" t="s">
        <v>533</v>
      </c>
      <c r="F146" s="1008"/>
      <c r="G146" s="1008"/>
      <c r="H146" s="1008"/>
    </row>
    <row r="147" spans="1:8" ht="11.25" customHeight="1" x14ac:dyDescent="0.25">
      <c r="A147" s="1034"/>
      <c r="B147" s="1034"/>
      <c r="C147" s="1034"/>
      <c r="D147" s="1034"/>
      <c r="E147" s="1008"/>
      <c r="F147" s="1008"/>
      <c r="G147" s="1008"/>
      <c r="H147" s="1008"/>
    </row>
    <row r="148" spans="1:8" ht="11.25" customHeight="1" x14ac:dyDescent="0.3">
      <c r="A148" s="1035" t="s">
        <v>629</v>
      </c>
      <c r="B148" s="1035"/>
      <c r="C148" s="1035"/>
      <c r="D148" s="1035"/>
      <c r="E148" s="1036">
        <v>0</v>
      </c>
      <c r="F148" s="1036"/>
      <c r="G148" s="1036"/>
      <c r="H148" s="1036"/>
    </row>
    <row r="149" spans="1:8" ht="11.25" customHeight="1" x14ac:dyDescent="0.25">
      <c r="A149" s="383"/>
      <c r="B149" s="383"/>
      <c r="C149" s="383"/>
      <c r="D149" s="383"/>
      <c r="E149" s="383"/>
      <c r="F149" s="383"/>
      <c r="G149" s="383"/>
      <c r="H149" s="365"/>
    </row>
    <row r="150" spans="1:8" ht="11.25" customHeight="1" x14ac:dyDescent="0.25">
      <c r="A150" s="1027" t="s">
        <v>630</v>
      </c>
      <c r="B150" s="1027"/>
      <c r="C150" s="1027"/>
      <c r="D150" s="1027"/>
      <c r="E150" s="1027"/>
      <c r="F150" s="1027"/>
      <c r="G150" s="1027"/>
      <c r="H150" s="1027"/>
    </row>
    <row r="151" spans="1:8" ht="11.25" customHeight="1" x14ac:dyDescent="0.25">
      <c r="A151" s="1027"/>
      <c r="B151" s="1027"/>
      <c r="C151" s="1027"/>
      <c r="D151" s="1027"/>
      <c r="E151" s="1027"/>
      <c r="F151" s="1027"/>
      <c r="G151" s="1027"/>
      <c r="H151" s="1027"/>
    </row>
    <row r="152" spans="1:8" ht="11.25" customHeight="1" x14ac:dyDescent="0.25">
      <c r="A152" s="384"/>
      <c r="B152" s="989" t="s">
        <v>466</v>
      </c>
      <c r="C152" s="989"/>
      <c r="D152" s="989"/>
      <c r="E152" s="989"/>
      <c r="F152" s="989"/>
      <c r="G152" s="989"/>
      <c r="H152" s="989"/>
    </row>
    <row r="153" spans="1:8" ht="11.25" customHeight="1" x14ac:dyDescent="0.3">
      <c r="A153" s="370" t="s">
        <v>529</v>
      </c>
      <c r="B153" s="385"/>
      <c r="C153" s="386" t="s">
        <v>37</v>
      </c>
      <c r="D153" s="387"/>
      <c r="E153" s="1040" t="s">
        <v>39</v>
      </c>
      <c r="F153" s="1040"/>
      <c r="G153" s="1040"/>
      <c r="H153" s="1040"/>
    </row>
    <row r="154" spans="1:8" ht="11.25" customHeight="1" x14ac:dyDescent="0.25">
      <c r="A154" s="291"/>
      <c r="B154" s="376"/>
      <c r="C154" s="388" t="s">
        <v>530</v>
      </c>
      <c r="D154" s="389"/>
      <c r="E154" s="1031" t="s">
        <v>531</v>
      </c>
      <c r="F154" s="1031"/>
      <c r="G154" s="1031"/>
      <c r="H154" s="1031"/>
    </row>
    <row r="155" spans="1:8" ht="11.25" customHeight="1" x14ac:dyDescent="0.3">
      <c r="A155" s="390" t="s">
        <v>457</v>
      </c>
      <c r="B155" s="1041">
        <v>0</v>
      </c>
      <c r="C155" s="1041"/>
      <c r="D155" s="1041"/>
      <c r="E155" s="1009">
        <v>0</v>
      </c>
      <c r="F155" s="1009"/>
      <c r="G155" s="1009"/>
      <c r="H155" s="1009"/>
    </row>
    <row r="156" spans="1:8" ht="11.25" customHeight="1" x14ac:dyDescent="0.3">
      <c r="A156" s="391"/>
      <c r="B156" s="391"/>
      <c r="C156" s="391"/>
      <c r="D156" s="285"/>
      <c r="E156" s="285"/>
      <c r="F156" s="391"/>
      <c r="G156" s="391"/>
      <c r="H156" s="365"/>
    </row>
    <row r="157" spans="1:8" ht="11.25" customHeight="1" x14ac:dyDescent="0.25">
      <c r="A157" s="1037" t="s">
        <v>631</v>
      </c>
      <c r="B157" s="1037"/>
      <c r="C157" s="1037"/>
      <c r="D157" s="1037"/>
      <c r="E157" s="1012" t="s">
        <v>533</v>
      </c>
      <c r="F157" s="1012"/>
      <c r="G157" s="1012"/>
      <c r="H157" s="1012"/>
    </row>
    <row r="158" spans="1:8" ht="11.25" customHeight="1" x14ac:dyDescent="0.25">
      <c r="A158" s="1037"/>
      <c r="B158" s="1037"/>
      <c r="C158" s="1037"/>
      <c r="D158" s="1037"/>
      <c r="E158" s="1003"/>
      <c r="F158" s="1003"/>
      <c r="G158" s="1003"/>
      <c r="H158" s="1003"/>
    </row>
    <row r="159" spans="1:8" ht="11.25" customHeight="1" x14ac:dyDescent="0.3">
      <c r="A159" s="390" t="s">
        <v>534</v>
      </c>
      <c r="B159" s="392"/>
      <c r="C159" s="392"/>
      <c r="D159" s="392"/>
      <c r="E159" s="1038">
        <v>0</v>
      </c>
      <c r="F159" s="1038"/>
      <c r="G159" s="1038"/>
      <c r="H159" s="1038"/>
    </row>
    <row r="160" spans="1:8" ht="11.25" customHeight="1" x14ac:dyDescent="0.25">
      <c r="A160" s="1039" t="s">
        <v>160</v>
      </c>
      <c r="B160" s="1039"/>
      <c r="C160" s="1039"/>
      <c r="D160" s="1039"/>
      <c r="E160" s="1039"/>
      <c r="F160" s="1039"/>
      <c r="G160" s="1039"/>
      <c r="H160" s="365"/>
    </row>
    <row r="161" spans="1:8" ht="11.25" customHeight="1" x14ac:dyDescent="0.25">
      <c r="A161" s="393" t="s">
        <v>632</v>
      </c>
      <c r="B161" s="365"/>
      <c r="C161" s="286"/>
      <c r="D161" s="365"/>
      <c r="E161" s="365"/>
      <c r="F161" s="365"/>
      <c r="G161" s="365"/>
      <c r="H161" s="365"/>
    </row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password="F3F6" sheet="1"/>
  <mergeCells count="135">
    <mergeCell ref="A157:D158"/>
    <mergeCell ref="E157:H157"/>
    <mergeCell ref="E158:H158"/>
    <mergeCell ref="E159:H159"/>
    <mergeCell ref="A160:G160"/>
    <mergeCell ref="A150:H151"/>
    <mergeCell ref="B152:H152"/>
    <mergeCell ref="E153:H153"/>
    <mergeCell ref="E154:H154"/>
    <mergeCell ref="B155:D155"/>
    <mergeCell ref="E155:H155"/>
    <mergeCell ref="G140:G141"/>
    <mergeCell ref="H140:H141"/>
    <mergeCell ref="A146:D147"/>
    <mergeCell ref="E146:H147"/>
    <mergeCell ref="A148:D148"/>
    <mergeCell ref="E148:H148"/>
    <mergeCell ref="B137:C137"/>
    <mergeCell ref="D137:E137"/>
    <mergeCell ref="F137:H137"/>
    <mergeCell ref="C139:D139"/>
    <mergeCell ref="E139:F139"/>
    <mergeCell ref="G139:H139"/>
    <mergeCell ref="A132:H133"/>
    <mergeCell ref="B134:C136"/>
    <mergeCell ref="D134:H134"/>
    <mergeCell ref="D135:E135"/>
    <mergeCell ref="F135:H135"/>
    <mergeCell ref="D136:E136"/>
    <mergeCell ref="F136:H136"/>
    <mergeCell ref="B122:H122"/>
    <mergeCell ref="B123:H123"/>
    <mergeCell ref="B124:H124"/>
    <mergeCell ref="B125:H125"/>
    <mergeCell ref="A129:H129"/>
    <mergeCell ref="A130:H130"/>
    <mergeCell ref="B113:H113"/>
    <mergeCell ref="B114:H114"/>
    <mergeCell ref="B115:H115"/>
    <mergeCell ref="B116:H116"/>
    <mergeCell ref="B118:H118"/>
    <mergeCell ref="A120:A121"/>
    <mergeCell ref="B120:H121"/>
    <mergeCell ref="B106:E106"/>
    <mergeCell ref="F106:H106"/>
    <mergeCell ref="B107:E107"/>
    <mergeCell ref="F107:H107"/>
    <mergeCell ref="B109:H111"/>
    <mergeCell ref="B112:H112"/>
    <mergeCell ref="B103:E103"/>
    <mergeCell ref="F103:H103"/>
    <mergeCell ref="B104:E104"/>
    <mergeCell ref="F104:H104"/>
    <mergeCell ref="B105:E105"/>
    <mergeCell ref="F105:H105"/>
    <mergeCell ref="B100:E100"/>
    <mergeCell ref="F100:H100"/>
    <mergeCell ref="B101:E101"/>
    <mergeCell ref="F101:H101"/>
    <mergeCell ref="B102:E102"/>
    <mergeCell ref="F102:H102"/>
    <mergeCell ref="A95:H96"/>
    <mergeCell ref="B97:H97"/>
    <mergeCell ref="B98:E98"/>
    <mergeCell ref="F98:H98"/>
    <mergeCell ref="B99:E99"/>
    <mergeCell ref="F99:H99"/>
    <mergeCell ref="B86:H86"/>
    <mergeCell ref="B87:H87"/>
    <mergeCell ref="B89:H89"/>
    <mergeCell ref="A91:A92"/>
    <mergeCell ref="B91:H92"/>
    <mergeCell ref="B93:H93"/>
    <mergeCell ref="B77:H77"/>
    <mergeCell ref="A79:A80"/>
    <mergeCell ref="B79:H80"/>
    <mergeCell ref="B81:H81"/>
    <mergeCell ref="B83:H83"/>
    <mergeCell ref="B84:H85"/>
    <mergeCell ref="A55:A59"/>
    <mergeCell ref="B55:B59"/>
    <mergeCell ref="C55:H55"/>
    <mergeCell ref="C56:C59"/>
    <mergeCell ref="D56:D59"/>
    <mergeCell ref="E56:E58"/>
    <mergeCell ref="F56:F57"/>
    <mergeCell ref="G56:H58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C45:H45"/>
    <mergeCell ref="C46:H46"/>
    <mergeCell ref="C35:H35"/>
    <mergeCell ref="C36:H36"/>
    <mergeCell ref="C37:H37"/>
    <mergeCell ref="C38:H38"/>
    <mergeCell ref="C39:H39"/>
    <mergeCell ref="C40:H40"/>
    <mergeCell ref="C29:H29"/>
    <mergeCell ref="C30:H30"/>
    <mergeCell ref="C31:H31"/>
    <mergeCell ref="C32:H32"/>
    <mergeCell ref="C33:H33"/>
    <mergeCell ref="C34:H34"/>
    <mergeCell ref="C23:H23"/>
    <mergeCell ref="C24:H24"/>
    <mergeCell ref="C25:H25"/>
    <mergeCell ref="C26:H26"/>
    <mergeCell ref="C27:H27"/>
    <mergeCell ref="C28:H28"/>
    <mergeCell ref="C17:H17"/>
    <mergeCell ref="C18:H18"/>
    <mergeCell ref="C19:H19"/>
    <mergeCell ref="C20:H20"/>
    <mergeCell ref="C21:H21"/>
    <mergeCell ref="C22:H22"/>
    <mergeCell ref="B12:B14"/>
    <mergeCell ref="C12:H12"/>
    <mergeCell ref="C13:H13"/>
    <mergeCell ref="C14:H14"/>
    <mergeCell ref="C15:H15"/>
    <mergeCell ref="C16:H16"/>
    <mergeCell ref="A3:D3"/>
    <mergeCell ref="A4:D4"/>
    <mergeCell ref="A5:D5"/>
    <mergeCell ref="A6:D6"/>
    <mergeCell ref="A7:D7"/>
    <mergeCell ref="A10:H11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opLeftCell="B10" zoomScale="140" zoomScaleNormal="140" workbookViewId="0">
      <selection activeCell="F17" sqref="F17"/>
    </sheetView>
  </sheetViews>
  <sheetFormatPr defaultColWidth="3" defaultRowHeight="11.25" customHeight="1" x14ac:dyDescent="0.3"/>
  <cols>
    <col min="1" max="1" width="50.7265625" style="18" customWidth="1"/>
    <col min="2" max="12" width="17.7265625" style="18" customWidth="1"/>
    <col min="13" max="13" width="17.7265625" style="146" customWidth="1"/>
    <col min="14" max="16384" width="3" style="146"/>
  </cols>
  <sheetData>
    <row r="1" spans="1:13" s="395" customFormat="1" ht="15.75" customHeight="1" x14ac:dyDescent="0.35">
      <c r="A1" s="143" t="s">
        <v>633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3" spans="1:13" ht="12.75" customHeight="1" x14ac:dyDescent="0.3">
      <c r="A3" s="880" t="str">
        <f>+'Informações Iniciais'!A1:B1</f>
        <v>ESTADO DO MARANHÃO - PREFEITURA MUNICIPAL DE DAVINOPOLIS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</row>
    <row r="4" spans="1:13" ht="12.75" customHeight="1" x14ac:dyDescent="0.3">
      <c r="A4" s="880" t="s">
        <v>1</v>
      </c>
      <c r="B4" s="880"/>
      <c r="C4" s="880"/>
      <c r="D4" s="880"/>
      <c r="E4" s="880"/>
      <c r="F4" s="880"/>
      <c r="G4" s="880"/>
      <c r="H4" s="880"/>
      <c r="I4" s="880"/>
      <c r="J4" s="880"/>
      <c r="K4" s="880"/>
      <c r="L4" s="880"/>
    </row>
    <row r="5" spans="1:13" ht="12.75" customHeight="1" x14ac:dyDescent="0.3">
      <c r="A5" s="879" t="s">
        <v>634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</row>
    <row r="6" spans="1:13" ht="12.75" customHeight="1" x14ac:dyDescent="0.3">
      <c r="A6" s="880" t="s">
        <v>29</v>
      </c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</row>
    <row r="7" spans="1:13" ht="12.75" customHeight="1" x14ac:dyDescent="0.3">
      <c r="A7" s="880" t="str">
        <f>+'Informações Iniciais'!A5:B5</f>
        <v>5º Bimestre de 2018</v>
      </c>
      <c r="B7" s="880"/>
      <c r="C7" s="880"/>
      <c r="D7" s="880"/>
      <c r="E7" s="880"/>
      <c r="F7" s="880"/>
      <c r="G7" s="880"/>
      <c r="H7" s="880"/>
      <c r="I7" s="880"/>
      <c r="J7" s="880"/>
      <c r="K7" s="880"/>
      <c r="L7" s="880"/>
    </row>
    <row r="8" spans="1:13" ht="12.75" customHeight="1" x14ac:dyDescent="0.3">
      <c r="A8" s="144"/>
      <c r="B8" s="144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3" ht="12.75" customHeight="1" x14ac:dyDescent="0.3">
      <c r="A9" s="396" t="s">
        <v>635</v>
      </c>
      <c r="B9" s="26"/>
      <c r="C9" s="146"/>
      <c r="D9" s="146"/>
      <c r="E9" s="146"/>
      <c r="F9" s="146"/>
      <c r="G9" s="146"/>
      <c r="H9" s="146"/>
      <c r="I9" s="146"/>
      <c r="J9" s="146"/>
      <c r="K9" s="146"/>
      <c r="L9" s="148"/>
      <c r="M9" s="148">
        <v>1</v>
      </c>
    </row>
    <row r="10" spans="1:13" ht="43" customHeight="1" x14ac:dyDescent="0.3">
      <c r="A10" s="925" t="s">
        <v>636</v>
      </c>
      <c r="B10" s="931" t="s">
        <v>637</v>
      </c>
      <c r="C10" s="931"/>
      <c r="D10" s="931"/>
      <c r="E10" s="931"/>
      <c r="F10" s="931"/>
      <c r="G10" s="919" t="s">
        <v>638</v>
      </c>
      <c r="H10" s="919"/>
      <c r="I10" s="919"/>
      <c r="J10" s="919"/>
      <c r="K10" s="919"/>
      <c r="L10" s="919"/>
      <c r="M10" s="931" t="s">
        <v>639</v>
      </c>
    </row>
    <row r="11" spans="1:13" ht="12.75" customHeight="1" x14ac:dyDescent="0.3">
      <c r="A11" s="925"/>
      <c r="B11" s="884" t="s">
        <v>640</v>
      </c>
      <c r="C11" s="884"/>
      <c r="D11" s="1044" t="s">
        <v>641</v>
      </c>
      <c r="E11" s="919" t="s">
        <v>642</v>
      </c>
      <c r="F11" s="1042" t="s">
        <v>643</v>
      </c>
      <c r="G11" s="884" t="s">
        <v>640</v>
      </c>
      <c r="H11" s="884"/>
      <c r="I11" s="919" t="s">
        <v>644</v>
      </c>
      <c r="J11" s="919" t="s">
        <v>641</v>
      </c>
      <c r="K11" s="919" t="s">
        <v>642</v>
      </c>
      <c r="L11" s="1042" t="s">
        <v>643</v>
      </c>
      <c r="M11" s="931"/>
    </row>
    <row r="12" spans="1:13" ht="13" customHeight="1" x14ac:dyDescent="0.3">
      <c r="A12" s="925"/>
      <c r="B12" s="931" t="s">
        <v>645</v>
      </c>
      <c r="C12" s="931" t="s">
        <v>646</v>
      </c>
      <c r="D12" s="1044"/>
      <c r="E12" s="919"/>
      <c r="F12" s="1042"/>
      <c r="G12" s="931" t="s">
        <v>647</v>
      </c>
      <c r="H12" s="931" t="s">
        <v>648</v>
      </c>
      <c r="I12" s="919"/>
      <c r="J12" s="919"/>
      <c r="K12" s="919"/>
      <c r="L12" s="1042"/>
      <c r="M12" s="931"/>
    </row>
    <row r="13" spans="1:13" ht="13" customHeight="1" x14ac:dyDescent="0.3">
      <c r="A13" s="925"/>
      <c r="B13" s="931"/>
      <c r="C13" s="931"/>
      <c r="D13" s="1044"/>
      <c r="E13" s="919"/>
      <c r="F13" s="1042"/>
      <c r="G13" s="931"/>
      <c r="H13" s="931"/>
      <c r="I13" s="919"/>
      <c r="J13" s="919"/>
      <c r="K13" s="919"/>
      <c r="L13" s="1042"/>
      <c r="M13" s="931"/>
    </row>
    <row r="14" spans="1:13" ht="13" customHeight="1" x14ac:dyDescent="0.3">
      <c r="A14" s="925"/>
      <c r="B14" s="931"/>
      <c r="C14" s="931"/>
      <c r="D14" s="1044"/>
      <c r="E14" s="919"/>
      <c r="F14" s="1042"/>
      <c r="G14" s="931"/>
      <c r="H14" s="931"/>
      <c r="I14" s="919"/>
      <c r="J14" s="919"/>
      <c r="K14" s="919"/>
      <c r="L14" s="1042"/>
      <c r="M14" s="931"/>
    </row>
    <row r="15" spans="1:13" s="399" customFormat="1" ht="15" customHeight="1" x14ac:dyDescent="0.3">
      <c r="A15" s="925"/>
      <c r="B15" s="188" t="s">
        <v>40</v>
      </c>
      <c r="C15" s="188" t="s">
        <v>41</v>
      </c>
      <c r="D15" s="150" t="s">
        <v>43</v>
      </c>
      <c r="E15" s="150" t="s">
        <v>131</v>
      </c>
      <c r="F15" s="397" t="s">
        <v>649</v>
      </c>
      <c r="G15" s="188" t="s">
        <v>133</v>
      </c>
      <c r="H15" s="188" t="s">
        <v>650</v>
      </c>
      <c r="I15" s="150" t="s">
        <v>135</v>
      </c>
      <c r="J15" s="150" t="s">
        <v>651</v>
      </c>
      <c r="K15" s="150" t="s">
        <v>137</v>
      </c>
      <c r="L15" s="398" t="s">
        <v>652</v>
      </c>
      <c r="M15" s="188" t="s">
        <v>653</v>
      </c>
    </row>
    <row r="16" spans="1:13" ht="12.75" customHeight="1" x14ac:dyDescent="0.3">
      <c r="A16" s="144" t="s">
        <v>654</v>
      </c>
      <c r="B16" s="48">
        <f t="shared" ref="B16:M16" si="0">B17+B18</f>
        <v>0</v>
      </c>
      <c r="C16" s="48">
        <f t="shared" si="0"/>
        <v>1892160.09</v>
      </c>
      <c r="D16" s="48">
        <f t="shared" si="0"/>
        <v>807000.29</v>
      </c>
      <c r="E16" s="48">
        <f t="shared" si="0"/>
        <v>0</v>
      </c>
      <c r="F16" s="48">
        <f t="shared" si="0"/>
        <v>1085159.8</v>
      </c>
      <c r="G16" s="48">
        <f t="shared" si="0"/>
        <v>0</v>
      </c>
      <c r="H16" s="48">
        <f t="shared" si="0"/>
        <v>0</v>
      </c>
      <c r="I16" s="48">
        <f t="shared" si="0"/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8">
        <f t="shared" si="0"/>
        <v>1085159.8</v>
      </c>
    </row>
    <row r="17" spans="1:13" ht="12.75" customHeight="1" x14ac:dyDescent="0.3">
      <c r="A17" s="144" t="s">
        <v>655</v>
      </c>
      <c r="B17" s="93">
        <v>0</v>
      </c>
      <c r="C17" s="93">
        <v>1892160.09</v>
      </c>
      <c r="D17" s="93">
        <v>807000.29</v>
      </c>
      <c r="E17" s="93"/>
      <c r="F17" s="93">
        <v>1085159.8</v>
      </c>
      <c r="G17" s="93">
        <v>0</v>
      </c>
      <c r="H17" s="93">
        <v>0</v>
      </c>
      <c r="I17" s="93">
        <v>0</v>
      </c>
      <c r="J17" s="93">
        <v>0</v>
      </c>
      <c r="K17" s="94">
        <v>0</v>
      </c>
      <c r="L17" s="94">
        <v>0</v>
      </c>
      <c r="M17" s="48">
        <f>F17+L17</f>
        <v>1085159.8</v>
      </c>
    </row>
    <row r="18" spans="1:13" ht="12.75" customHeight="1" x14ac:dyDescent="0.3">
      <c r="A18" s="144" t="s">
        <v>656</v>
      </c>
      <c r="B18" s="93"/>
      <c r="C18" s="93"/>
      <c r="D18" s="93"/>
      <c r="E18" s="93"/>
      <c r="F18" s="93"/>
      <c r="G18" s="93"/>
      <c r="H18" s="93"/>
      <c r="I18" s="93"/>
      <c r="J18" s="93"/>
      <c r="K18" s="94"/>
      <c r="L18" s="94"/>
      <c r="M18" s="48">
        <f>F18+L18</f>
        <v>0</v>
      </c>
    </row>
    <row r="19" spans="1:13" ht="12.75" customHeight="1" x14ac:dyDescent="0.3">
      <c r="A19" s="144" t="s">
        <v>657</v>
      </c>
      <c r="B19" s="48"/>
      <c r="C19" s="48"/>
      <c r="D19" s="48"/>
      <c r="E19" s="48"/>
      <c r="F19" s="48"/>
      <c r="G19" s="48"/>
      <c r="H19" s="48"/>
      <c r="I19" s="48"/>
      <c r="J19" s="48"/>
      <c r="K19" s="161"/>
      <c r="L19" s="161"/>
      <c r="M19" s="48">
        <f>F19+L19</f>
        <v>0</v>
      </c>
    </row>
    <row r="20" spans="1:13" ht="12.75" customHeight="1" x14ac:dyDescent="0.3">
      <c r="A20" s="144" t="s">
        <v>658</v>
      </c>
      <c r="B20" s="93"/>
      <c r="C20" s="93"/>
      <c r="D20" s="93"/>
      <c r="E20" s="93"/>
      <c r="F20" s="93"/>
      <c r="G20" s="93"/>
      <c r="H20" s="93"/>
      <c r="I20" s="93"/>
      <c r="J20" s="93"/>
      <c r="K20" s="94"/>
      <c r="L20" s="94"/>
      <c r="M20" s="48">
        <f>F20+L20</f>
        <v>0</v>
      </c>
    </row>
    <row r="21" spans="1:13" ht="12.75" customHeight="1" x14ac:dyDescent="0.3">
      <c r="A21" s="185" t="s">
        <v>351</v>
      </c>
      <c r="B21" s="400">
        <f t="shared" ref="B21:M21" si="1">B16+B20</f>
        <v>0</v>
      </c>
      <c r="C21" s="400">
        <f t="shared" si="1"/>
        <v>1892160.09</v>
      </c>
      <c r="D21" s="400">
        <f t="shared" si="1"/>
        <v>807000.29</v>
      </c>
      <c r="E21" s="400">
        <f t="shared" si="1"/>
        <v>0</v>
      </c>
      <c r="F21" s="400">
        <f t="shared" si="1"/>
        <v>1085159.8</v>
      </c>
      <c r="G21" s="400">
        <f t="shared" si="1"/>
        <v>0</v>
      </c>
      <c r="H21" s="400">
        <f t="shared" si="1"/>
        <v>0</v>
      </c>
      <c r="I21" s="400">
        <f t="shared" si="1"/>
        <v>0</v>
      </c>
      <c r="J21" s="400">
        <f t="shared" si="1"/>
        <v>0</v>
      </c>
      <c r="K21" s="400">
        <f t="shared" si="1"/>
        <v>0</v>
      </c>
      <c r="L21" s="400">
        <f t="shared" si="1"/>
        <v>0</v>
      </c>
      <c r="M21" s="79">
        <f t="shared" si="1"/>
        <v>1085159.8</v>
      </c>
    </row>
    <row r="22" spans="1:13" ht="12.75" customHeight="1" x14ac:dyDescent="0.3">
      <c r="A22" s="1043" t="s">
        <v>659</v>
      </c>
      <c r="B22" s="1043"/>
      <c r="C22" s="1043"/>
      <c r="D22" s="1043"/>
      <c r="E22" s="1043"/>
      <c r="F22" s="1043"/>
      <c r="G22" s="1043"/>
      <c r="H22" s="1043"/>
      <c r="I22" s="1043"/>
      <c r="J22" s="1043"/>
      <c r="K22" s="1043"/>
      <c r="L22" s="1043"/>
      <c r="M22" s="1043"/>
    </row>
  </sheetData>
  <sheetProtection password="F3F6" sheet="1"/>
  <mergeCells count="23">
    <mergeCell ref="I11:I14"/>
    <mergeCell ref="B12:B14"/>
    <mergeCell ref="C12:C14"/>
    <mergeCell ref="G12:G14"/>
    <mergeCell ref="H12:H14"/>
    <mergeCell ref="G10:L10"/>
    <mergeCell ref="A22:M22"/>
    <mergeCell ref="M10:M14"/>
    <mergeCell ref="B11:C11"/>
    <mergeCell ref="D11:D14"/>
    <mergeCell ref="E11:E14"/>
    <mergeCell ref="F11:F14"/>
    <mergeCell ref="G11:H11"/>
    <mergeCell ref="J11:J14"/>
    <mergeCell ref="K11:K14"/>
    <mergeCell ref="L11:L14"/>
    <mergeCell ref="A3:L3"/>
    <mergeCell ref="A4:L4"/>
    <mergeCell ref="A5:L5"/>
    <mergeCell ref="A6:L6"/>
    <mergeCell ref="A7:L7"/>
    <mergeCell ref="A10:A15"/>
    <mergeCell ref="B10:F10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opLeftCell="B10" zoomScale="140" zoomScaleNormal="140" workbookViewId="0">
      <selection activeCell="G124" sqref="G124:H124"/>
    </sheetView>
  </sheetViews>
  <sheetFormatPr defaultColWidth="18.81640625" defaultRowHeight="11.25" customHeight="1" x14ac:dyDescent="0.25"/>
  <cols>
    <col min="1" max="1" width="83.26953125" style="401" customWidth="1"/>
    <col min="2" max="6" width="13.453125" style="401" customWidth="1"/>
    <col min="7" max="7" width="14.453125" style="401" customWidth="1"/>
    <col min="8" max="8" width="22" style="401" customWidth="1"/>
    <col min="9" max="9" width="20.81640625" style="401" customWidth="1"/>
    <col min="10" max="10" width="13.7265625" style="401" customWidth="1"/>
    <col min="11" max="11" width="13.81640625" style="401" customWidth="1"/>
    <col min="12" max="255" width="8.81640625" style="401" customWidth="1"/>
    <col min="256" max="16384" width="18.81640625" style="402"/>
  </cols>
  <sheetData>
    <row r="1" spans="1:256" s="403" customFormat="1" ht="15.75" customHeight="1" x14ac:dyDescent="0.35">
      <c r="A1" s="1045" t="s">
        <v>660</v>
      </c>
      <c r="B1" s="1045"/>
      <c r="C1" s="1045"/>
      <c r="D1" s="1045"/>
      <c r="E1" s="1045"/>
      <c r="F1" s="1045"/>
      <c r="IV1" s="404"/>
    </row>
    <row r="2" spans="1:256" s="406" customFormat="1" ht="12.75" customHeight="1" x14ac:dyDescent="0.3">
      <c r="A2" s="405"/>
      <c r="B2" s="405"/>
      <c r="C2" s="405"/>
      <c r="D2" s="405"/>
      <c r="E2" s="405"/>
      <c r="F2" s="405"/>
      <c r="IV2" s="407"/>
    </row>
    <row r="3" spans="1:256" s="406" customFormat="1" ht="12.75" customHeight="1" x14ac:dyDescent="0.3">
      <c r="A3" s="1046" t="str">
        <f>+'Informações Iniciais'!A1:B1</f>
        <v>ESTADO DO MARANHÃO - PREFEITURA MUNICIPAL DE DAVINOPOLIS</v>
      </c>
      <c r="B3" s="1046"/>
      <c r="C3" s="1046"/>
      <c r="D3" s="1046"/>
      <c r="E3" s="1046"/>
      <c r="F3" s="1046"/>
      <c r="IA3" s="407"/>
      <c r="IB3" s="407"/>
      <c r="IC3" s="407"/>
      <c r="ID3" s="407"/>
      <c r="IE3" s="407"/>
      <c r="IF3" s="407"/>
      <c r="IG3" s="407"/>
      <c r="IH3" s="407"/>
      <c r="II3" s="407"/>
      <c r="IJ3" s="407"/>
      <c r="IK3" s="407"/>
      <c r="IL3" s="407"/>
      <c r="IM3" s="407"/>
      <c r="IN3" s="407"/>
      <c r="IO3" s="407"/>
      <c r="IP3" s="407"/>
      <c r="IQ3" s="407"/>
      <c r="IR3" s="407"/>
      <c r="IS3" s="407"/>
      <c r="IT3" s="407"/>
      <c r="IU3" s="407"/>
      <c r="IV3" s="407"/>
    </row>
    <row r="4" spans="1:256" s="406" customFormat="1" ht="12.75" customHeight="1" x14ac:dyDescent="0.3">
      <c r="A4" s="1047" t="s">
        <v>1</v>
      </c>
      <c r="B4" s="1047"/>
      <c r="C4" s="1047"/>
      <c r="D4" s="1047"/>
      <c r="E4" s="1047"/>
      <c r="F4" s="1047"/>
      <c r="IA4" s="407"/>
      <c r="IB4" s="407"/>
      <c r="IC4" s="407"/>
      <c r="ID4" s="407"/>
      <c r="IE4" s="407"/>
      <c r="IF4" s="407"/>
      <c r="IG4" s="407"/>
      <c r="IH4" s="407"/>
      <c r="II4" s="407"/>
      <c r="IJ4" s="407"/>
      <c r="IK4" s="407"/>
      <c r="IL4" s="407"/>
      <c r="IM4" s="407"/>
      <c r="IN4" s="407"/>
      <c r="IO4" s="407"/>
      <c r="IP4" s="407"/>
      <c r="IQ4" s="407"/>
      <c r="IR4" s="407"/>
      <c r="IS4" s="407"/>
      <c r="IT4" s="407"/>
      <c r="IU4" s="407"/>
      <c r="IV4" s="407"/>
    </row>
    <row r="5" spans="1:256" s="406" customFormat="1" ht="12.75" customHeight="1" x14ac:dyDescent="0.3">
      <c r="A5" s="1048" t="s">
        <v>661</v>
      </c>
      <c r="B5" s="1048"/>
      <c r="C5" s="1048"/>
      <c r="D5" s="1048"/>
      <c r="E5" s="1048"/>
      <c r="F5" s="1048"/>
      <c r="IA5" s="407"/>
      <c r="IB5" s="407"/>
      <c r="IC5" s="407"/>
      <c r="ID5" s="407"/>
      <c r="IE5" s="407"/>
      <c r="IF5" s="407"/>
      <c r="IG5" s="407"/>
      <c r="IH5" s="407"/>
      <c r="II5" s="407"/>
      <c r="IJ5" s="407"/>
      <c r="IK5" s="407"/>
      <c r="IL5" s="407"/>
      <c r="IM5" s="407"/>
      <c r="IN5" s="407"/>
      <c r="IO5" s="407"/>
      <c r="IP5" s="407"/>
      <c r="IQ5" s="407"/>
      <c r="IR5" s="407"/>
      <c r="IS5" s="407"/>
      <c r="IT5" s="407"/>
      <c r="IU5" s="407"/>
      <c r="IV5" s="407"/>
    </row>
    <row r="6" spans="1:256" s="406" customFormat="1" ht="12.75" customHeight="1" x14ac:dyDescent="0.3">
      <c r="A6" s="1047" t="s">
        <v>29</v>
      </c>
      <c r="B6" s="1047"/>
      <c r="C6" s="1047"/>
      <c r="D6" s="1047"/>
      <c r="E6" s="1047"/>
      <c r="F6" s="1047"/>
      <c r="IA6" s="407"/>
      <c r="IB6" s="407"/>
      <c r="IC6" s="407"/>
      <c r="ID6" s="407"/>
      <c r="IE6" s="407"/>
      <c r="IF6" s="407"/>
      <c r="IG6" s="407"/>
      <c r="IH6" s="407"/>
      <c r="II6" s="1049" t="s">
        <v>2</v>
      </c>
      <c r="IJ6" s="1049"/>
      <c r="IK6" s="1049"/>
      <c r="IL6" s="1049"/>
      <c r="IM6" s="1049"/>
      <c r="IN6" s="1049"/>
      <c r="IO6" s="408">
        <f>IF($A$7=IP6,1,0)</f>
        <v>0</v>
      </c>
      <c r="IP6" s="870" t="s">
        <v>662</v>
      </c>
      <c r="IQ6" s="870"/>
      <c r="IR6" s="870"/>
      <c r="IS6" s="870"/>
      <c r="IT6" s="870"/>
      <c r="IU6" s="870"/>
      <c r="IV6" s="870"/>
    </row>
    <row r="7" spans="1:256" s="406" customFormat="1" ht="12.75" customHeight="1" x14ac:dyDescent="0.3">
      <c r="A7" s="1048" t="str">
        <f>+'Informações Iniciais'!A5:B5</f>
        <v>5º Bimestre de 2018</v>
      </c>
      <c r="B7" s="1048"/>
      <c r="C7" s="1048"/>
      <c r="D7" s="1048"/>
      <c r="E7" s="1048"/>
      <c r="F7" s="1048"/>
      <c r="G7" s="1048"/>
      <c r="H7" s="1048"/>
      <c r="IA7" s="407"/>
      <c r="IB7" s="407"/>
      <c r="IC7" s="407"/>
      <c r="ID7" s="407"/>
      <c r="IE7" s="407"/>
      <c r="IF7" s="407"/>
      <c r="IG7" s="407"/>
      <c r="IH7" s="407"/>
      <c r="II7" s="1049"/>
      <c r="IJ7" s="1049"/>
      <c r="IK7" s="1049"/>
      <c r="IL7" s="1049"/>
      <c r="IM7" s="1049"/>
      <c r="IN7" s="1049"/>
      <c r="IO7" s="408"/>
      <c r="IP7" s="408"/>
      <c r="IQ7" s="408"/>
      <c r="IR7" s="408"/>
      <c r="IS7" s="408"/>
      <c r="IT7" s="408">
        <f t="shared" ref="IT7:IT12" si="0">IF($A$7=IV7,1,0)</f>
        <v>0</v>
      </c>
      <c r="IU7" s="408"/>
      <c r="IV7" s="409" t="s">
        <v>4</v>
      </c>
    </row>
    <row r="8" spans="1:256" s="406" customFormat="1" ht="21.75" customHeight="1" x14ac:dyDescent="0.3">
      <c r="A8" s="1050" t="str">
        <f>IF($D$119&lt;&gt;($F$119+$H$119),"HÁ ERRO NO QUADRO DESPESAS COM MDE - VERIFIQUE!!!","")</f>
        <v/>
      </c>
      <c r="B8" s="1050"/>
      <c r="C8" s="1050"/>
      <c r="D8" s="1050"/>
      <c r="E8" s="1050"/>
      <c r="F8" s="1050"/>
      <c r="G8" s="1050"/>
      <c r="H8" s="1050"/>
      <c r="IA8" s="407"/>
      <c r="IB8" s="407"/>
      <c r="IC8" s="407"/>
      <c r="ID8" s="407"/>
      <c r="IE8" s="407"/>
      <c r="IF8" s="407"/>
      <c r="IG8" s="407"/>
      <c r="IH8" s="407"/>
      <c r="II8" s="1049"/>
      <c r="IJ8" s="1049"/>
      <c r="IK8" s="1049"/>
      <c r="IL8" s="1049"/>
      <c r="IM8" s="1049"/>
      <c r="IN8" s="1049"/>
      <c r="IO8" s="408"/>
      <c r="IP8" s="408"/>
      <c r="IQ8" s="408"/>
      <c r="IR8" s="408"/>
      <c r="IS8" s="408"/>
      <c r="IT8" s="408">
        <f t="shared" si="0"/>
        <v>0</v>
      </c>
      <c r="IU8" s="408"/>
      <c r="IV8" s="409" t="s">
        <v>6</v>
      </c>
    </row>
    <row r="9" spans="1:256" s="406" customFormat="1" ht="12.75" customHeight="1" x14ac:dyDescent="0.3">
      <c r="A9" s="406" t="s">
        <v>663</v>
      </c>
      <c r="B9" s="410"/>
      <c r="C9" s="410"/>
      <c r="D9" s="410"/>
      <c r="E9" s="410"/>
      <c r="F9" s="411"/>
      <c r="H9" s="411">
        <v>1</v>
      </c>
      <c r="IA9" s="407"/>
      <c r="IB9" s="407"/>
      <c r="IC9" s="407"/>
      <c r="ID9" s="407"/>
      <c r="IE9" s="407"/>
      <c r="IF9" s="407"/>
      <c r="IG9" s="407"/>
      <c r="IH9" s="407"/>
      <c r="II9" s="1049"/>
      <c r="IJ9" s="1049"/>
      <c r="IK9" s="1049"/>
      <c r="IL9" s="1049"/>
      <c r="IM9" s="1049"/>
      <c r="IN9" s="1049"/>
      <c r="IO9" s="408"/>
      <c r="IP9" s="408"/>
      <c r="IQ9" s="408"/>
      <c r="IR9" s="408"/>
      <c r="IS9" s="408"/>
      <c r="IT9" s="408">
        <f t="shared" si="0"/>
        <v>0</v>
      </c>
      <c r="IU9" s="408"/>
      <c r="IV9" s="409" t="s">
        <v>3</v>
      </c>
    </row>
    <row r="10" spans="1:256" s="406" customFormat="1" ht="12.75" customHeight="1" x14ac:dyDescent="0.3">
      <c r="A10" s="1051" t="s">
        <v>664</v>
      </c>
      <c r="B10" s="1051"/>
      <c r="C10" s="1051"/>
      <c r="D10" s="1051"/>
      <c r="E10" s="1051"/>
      <c r="F10" s="1051"/>
      <c r="G10" s="1051"/>
      <c r="H10" s="1051"/>
      <c r="IA10" s="407"/>
      <c r="IB10" s="407"/>
      <c r="IC10" s="407"/>
      <c r="ID10" s="407"/>
      <c r="IE10" s="407"/>
      <c r="IF10" s="407"/>
      <c r="IG10" s="407"/>
      <c r="IH10" s="407"/>
      <c r="II10" s="1049"/>
      <c r="IJ10" s="1049"/>
      <c r="IK10" s="1049"/>
      <c r="IL10" s="1049"/>
      <c r="IM10" s="1049"/>
      <c r="IN10" s="1049"/>
      <c r="IO10" s="408"/>
      <c r="IP10" s="408"/>
      <c r="IQ10" s="408"/>
      <c r="IR10" s="408"/>
      <c r="IS10" s="408"/>
      <c r="IT10" s="408">
        <f t="shared" si="0"/>
        <v>0</v>
      </c>
      <c r="IU10" s="408"/>
      <c r="IV10" s="409" t="s">
        <v>8</v>
      </c>
    </row>
    <row r="11" spans="1:256" s="406" customFormat="1" ht="12.75" customHeight="1" x14ac:dyDescent="0.3">
      <c r="A11" s="412"/>
      <c r="B11" s="1052" t="s">
        <v>33</v>
      </c>
      <c r="C11" s="1052"/>
      <c r="D11" s="1053" t="s">
        <v>34</v>
      </c>
      <c r="E11" s="1053"/>
      <c r="F11" s="1054" t="s">
        <v>35</v>
      </c>
      <c r="G11" s="1054"/>
      <c r="H11" s="1054"/>
      <c r="IA11" s="407"/>
      <c r="IB11" s="407"/>
      <c r="IC11" s="407"/>
      <c r="ID11" s="407"/>
      <c r="IE11" s="407"/>
      <c r="IF11" s="407"/>
      <c r="IG11" s="407"/>
      <c r="IH11" s="407"/>
      <c r="II11" s="1049"/>
      <c r="IJ11" s="1049"/>
      <c r="IK11" s="1049"/>
      <c r="IL11" s="1049"/>
      <c r="IM11" s="1049"/>
      <c r="IN11" s="1049"/>
      <c r="IO11" s="408"/>
      <c r="IP11" s="408"/>
      <c r="IQ11" s="408"/>
      <c r="IR11" s="408"/>
      <c r="IS11" s="408"/>
      <c r="IT11" s="408">
        <f t="shared" si="0"/>
        <v>1</v>
      </c>
      <c r="IU11" s="408"/>
      <c r="IV11" s="409" t="s">
        <v>10</v>
      </c>
    </row>
    <row r="12" spans="1:256" s="406" customFormat="1" ht="12.75" customHeight="1" x14ac:dyDescent="0.3">
      <c r="A12" s="413" t="s">
        <v>665</v>
      </c>
      <c r="B12" s="1052"/>
      <c r="C12" s="1052"/>
      <c r="D12" s="1053"/>
      <c r="E12" s="1053"/>
      <c r="F12" s="1055" t="s">
        <v>39</v>
      </c>
      <c r="G12" s="1055"/>
      <c r="H12" s="415" t="s">
        <v>38</v>
      </c>
      <c r="I12" s="416"/>
      <c r="J12" s="416"/>
      <c r="K12" s="416"/>
      <c r="IA12" s="407"/>
      <c r="IB12" s="407"/>
      <c r="IC12" s="407"/>
      <c r="ID12" s="407"/>
      <c r="IE12" s="407"/>
      <c r="IF12" s="407"/>
      <c r="IG12" s="407"/>
      <c r="IH12" s="407"/>
      <c r="II12" s="1049"/>
      <c r="IJ12" s="1049"/>
      <c r="IK12" s="1049"/>
      <c r="IL12" s="1049"/>
      <c r="IM12" s="1049"/>
      <c r="IN12" s="1049"/>
      <c r="IO12" s="408"/>
      <c r="IP12" s="408"/>
      <c r="IQ12" s="408"/>
      <c r="IR12" s="408"/>
      <c r="IS12" s="408"/>
      <c r="IT12" s="408">
        <f t="shared" si="0"/>
        <v>0</v>
      </c>
      <c r="IU12" s="408"/>
      <c r="IV12" s="409" t="s">
        <v>12</v>
      </c>
    </row>
    <row r="13" spans="1:256" s="406" customFormat="1" ht="12.75" customHeight="1" x14ac:dyDescent="0.3">
      <c r="A13" s="417"/>
      <c r="B13" s="1052"/>
      <c r="C13" s="1052"/>
      <c r="D13" s="1056" t="s">
        <v>40</v>
      </c>
      <c r="E13" s="1056"/>
      <c r="F13" s="1056" t="s">
        <v>41</v>
      </c>
      <c r="G13" s="1056"/>
      <c r="H13" s="419" t="s">
        <v>666</v>
      </c>
      <c r="I13" s="416"/>
      <c r="J13" s="416"/>
      <c r="K13" s="416"/>
      <c r="IA13" s="407"/>
      <c r="IB13" s="407"/>
      <c r="IC13" s="407"/>
      <c r="ID13" s="407"/>
      <c r="IE13" s="407"/>
      <c r="IF13" s="407"/>
      <c r="IG13" s="407"/>
      <c r="IH13" s="407"/>
      <c r="II13" s="408"/>
      <c r="IJ13" s="408"/>
      <c r="IK13" s="408"/>
      <c r="IL13" s="408"/>
      <c r="IM13" s="408"/>
      <c r="IN13" s="408"/>
      <c r="IO13" s="408"/>
      <c r="IP13" s="408"/>
      <c r="IQ13" s="408"/>
      <c r="IR13" s="408"/>
      <c r="IS13" s="408"/>
      <c r="IT13" s="408">
        <f>SUM(IT7:IT12)+IO6</f>
        <v>1</v>
      </c>
      <c r="IU13" s="408"/>
      <c r="IV13" s="408"/>
    </row>
    <row r="14" spans="1:256" s="407" customFormat="1" ht="12.75" customHeight="1" x14ac:dyDescent="0.3">
      <c r="A14" s="420" t="s">
        <v>667</v>
      </c>
      <c r="B14" s="1057">
        <f>B15+B18+B21+B24+B25</f>
        <v>1740345.96</v>
      </c>
      <c r="C14" s="1057"/>
      <c r="D14" s="1057">
        <f>D15+D18+D21+D24+D25</f>
        <v>1740345.96</v>
      </c>
      <c r="E14" s="1057"/>
      <c r="F14" s="1057">
        <f>F15+F18+F21+F24+F25</f>
        <v>74976.569999999992</v>
      </c>
      <c r="G14" s="1057"/>
      <c r="H14" s="125">
        <f t="shared" ref="H14:H39" si="1">IF(D14="",0,IF(D14=0,0,F14/D14))</f>
        <v>4.3081416984471294E-2</v>
      </c>
      <c r="I14" s="421"/>
      <c r="J14" s="421"/>
      <c r="K14" s="421"/>
      <c r="II14" s="408"/>
      <c r="IJ14" s="408"/>
      <c r="IK14" s="408"/>
      <c r="IL14" s="408"/>
      <c r="IM14" s="408"/>
      <c r="IN14" s="408"/>
      <c r="IO14" s="408"/>
      <c r="IP14" s="408"/>
      <c r="IQ14" s="408"/>
      <c r="IR14" s="408"/>
      <c r="IS14" s="408"/>
      <c r="IT14" s="408"/>
      <c r="IU14" s="422" t="s">
        <v>668</v>
      </c>
      <c r="IV14" s="408">
        <f>+'Informações Iniciais'!C23</f>
        <v>0</v>
      </c>
    </row>
    <row r="15" spans="1:256" s="406" customFormat="1" ht="12.75" customHeight="1" x14ac:dyDescent="0.3">
      <c r="A15" s="423" t="s">
        <v>669</v>
      </c>
      <c r="B15" s="967">
        <f>+B16+B17</f>
        <v>24375.33</v>
      </c>
      <c r="C15" s="967"/>
      <c r="D15" s="967">
        <f>+D16+D17</f>
        <v>24375.33</v>
      </c>
      <c r="E15" s="967"/>
      <c r="F15" s="967">
        <f>+F16+F17</f>
        <v>336.68</v>
      </c>
      <c r="G15" s="967"/>
      <c r="H15" s="125">
        <f t="shared" si="1"/>
        <v>1.3812325822870911E-2</v>
      </c>
      <c r="I15" s="416"/>
      <c r="J15" s="416"/>
      <c r="K15" s="416"/>
      <c r="IA15" s="407"/>
      <c r="IB15" s="407"/>
      <c r="IC15" s="407"/>
      <c r="ID15" s="407"/>
      <c r="IE15" s="407"/>
      <c r="IF15" s="407"/>
      <c r="IG15" s="407"/>
      <c r="IH15" s="407"/>
      <c r="II15" s="407"/>
      <c r="IJ15" s="407"/>
      <c r="IK15" s="407"/>
      <c r="IL15" s="407"/>
      <c r="IM15" s="407"/>
      <c r="IN15" s="407"/>
      <c r="IO15" s="407"/>
      <c r="IP15" s="407"/>
      <c r="IQ15" s="407"/>
      <c r="IR15" s="407"/>
      <c r="IS15" s="407"/>
      <c r="IT15" s="407"/>
      <c r="IU15" s="407"/>
      <c r="IV15" s="407"/>
    </row>
    <row r="16" spans="1:256" s="406" customFormat="1" ht="12.75" customHeight="1" x14ac:dyDescent="0.3">
      <c r="A16" s="423" t="s">
        <v>670</v>
      </c>
      <c r="B16" s="892">
        <v>12398.44</v>
      </c>
      <c r="C16" s="892"/>
      <c r="D16" s="892">
        <v>12398.44</v>
      </c>
      <c r="E16" s="892"/>
      <c r="F16" s="892">
        <v>336.68</v>
      </c>
      <c r="G16" s="892"/>
      <c r="H16" s="125">
        <f t="shared" si="1"/>
        <v>2.7155029181090525E-2</v>
      </c>
      <c r="I16" s="416"/>
      <c r="J16" s="416"/>
      <c r="K16" s="416"/>
      <c r="IA16" s="407"/>
      <c r="IB16" s="407"/>
      <c r="IC16" s="407"/>
      <c r="ID16" s="407"/>
      <c r="IE16" s="407"/>
      <c r="IF16" s="407"/>
      <c r="IG16" s="407"/>
      <c r="IH16" s="407"/>
      <c r="II16" s="407"/>
      <c r="IJ16" s="407"/>
      <c r="IK16" s="407"/>
      <c r="IL16" s="407"/>
      <c r="IM16" s="407"/>
      <c r="IN16" s="407"/>
      <c r="IO16" s="407"/>
      <c r="IP16" s="407"/>
      <c r="IQ16" s="407"/>
      <c r="IR16" s="407"/>
      <c r="IS16" s="407"/>
      <c r="IT16" s="407"/>
      <c r="IU16" s="407"/>
      <c r="IV16" s="407"/>
    </row>
    <row r="17" spans="1:256" s="406" customFormat="1" ht="12.75" customHeight="1" x14ac:dyDescent="0.3">
      <c r="A17" s="423" t="s">
        <v>671</v>
      </c>
      <c r="B17" s="892">
        <v>11976.89</v>
      </c>
      <c r="C17" s="892"/>
      <c r="D17" s="892">
        <v>11976.89</v>
      </c>
      <c r="E17" s="892"/>
      <c r="F17" s="892"/>
      <c r="G17" s="892"/>
      <c r="H17" s="125">
        <f t="shared" si="1"/>
        <v>0</v>
      </c>
      <c r="I17" s="416"/>
      <c r="J17" s="416"/>
      <c r="K17" s="416"/>
      <c r="IA17" s="407"/>
      <c r="IB17" s="407"/>
      <c r="IC17" s="407"/>
      <c r="ID17" s="407"/>
      <c r="IE17" s="407"/>
      <c r="IF17" s="407"/>
      <c r="IG17" s="407"/>
      <c r="IH17" s="407"/>
      <c r="II17" s="407"/>
      <c r="IJ17" s="407"/>
      <c r="IK17" s="407"/>
      <c r="IL17" s="407"/>
      <c r="IM17" s="407"/>
      <c r="IN17" s="407"/>
      <c r="IO17" s="407"/>
      <c r="IP17" s="407"/>
      <c r="IQ17" s="407"/>
      <c r="IR17" s="407"/>
      <c r="IS17" s="407"/>
      <c r="IT17" s="407"/>
      <c r="IU17" s="407"/>
      <c r="IV17" s="407"/>
    </row>
    <row r="18" spans="1:256" s="406" customFormat="1" ht="12.75" customHeight="1" x14ac:dyDescent="0.3">
      <c r="A18" s="424" t="s">
        <v>672</v>
      </c>
      <c r="B18" s="967">
        <f>+B19+B20</f>
        <v>21490.63</v>
      </c>
      <c r="C18" s="967"/>
      <c r="D18" s="967">
        <f>+D19+D20</f>
        <v>21490.63</v>
      </c>
      <c r="E18" s="967"/>
      <c r="F18" s="967">
        <f>+F19+F20</f>
        <v>3877.74</v>
      </c>
      <c r="G18" s="967"/>
      <c r="H18" s="125">
        <f t="shared" si="1"/>
        <v>0.18043863767604765</v>
      </c>
      <c r="IA18" s="407"/>
      <c r="IB18" s="407"/>
      <c r="IC18" s="407"/>
      <c r="ID18" s="407"/>
      <c r="IE18" s="407"/>
      <c r="IF18" s="407"/>
      <c r="IG18" s="407"/>
      <c r="IH18" s="407"/>
      <c r="II18" s="407"/>
      <c r="IJ18" s="407"/>
      <c r="IK18" s="407"/>
      <c r="IL18" s="407"/>
      <c r="IM18" s="407"/>
      <c r="IN18" s="407"/>
      <c r="IO18" s="407"/>
      <c r="IP18" s="407"/>
      <c r="IQ18" s="407"/>
      <c r="IR18" s="407"/>
      <c r="IS18" s="407"/>
      <c r="IT18" s="407"/>
      <c r="IU18" s="407"/>
      <c r="IV18" s="407"/>
    </row>
    <row r="19" spans="1:256" s="406" customFormat="1" ht="12.75" customHeight="1" x14ac:dyDescent="0.3">
      <c r="A19" s="423" t="s">
        <v>673</v>
      </c>
      <c r="B19" s="892">
        <v>21490.63</v>
      </c>
      <c r="C19" s="892"/>
      <c r="D19" s="892">
        <v>21490.63</v>
      </c>
      <c r="E19" s="892"/>
      <c r="F19" s="892">
        <v>3877.74</v>
      </c>
      <c r="G19" s="892"/>
      <c r="H19" s="125">
        <f t="shared" si="1"/>
        <v>0.18043863767604765</v>
      </c>
      <c r="IA19" s="407"/>
      <c r="IB19" s="407"/>
      <c r="IC19" s="407"/>
      <c r="ID19" s="407"/>
      <c r="IE19" s="407"/>
      <c r="IF19" s="407"/>
      <c r="IG19" s="407"/>
      <c r="IH19" s="407"/>
      <c r="II19" s="407"/>
      <c r="IJ19" s="407"/>
      <c r="IK19" s="407"/>
      <c r="IL19" s="407"/>
      <c r="IM19" s="407"/>
      <c r="IN19" s="407"/>
      <c r="IO19" s="407"/>
      <c r="IP19" s="407"/>
      <c r="IQ19" s="407"/>
      <c r="IR19" s="407"/>
      <c r="IS19" s="407"/>
      <c r="IT19" s="407"/>
      <c r="IU19" s="407"/>
      <c r="IV19" s="407"/>
    </row>
    <row r="20" spans="1:256" s="406" customFormat="1" ht="12.75" customHeight="1" x14ac:dyDescent="0.3">
      <c r="A20" s="423" t="s">
        <v>674</v>
      </c>
      <c r="B20" s="892"/>
      <c r="C20" s="892"/>
      <c r="D20" s="892"/>
      <c r="E20" s="892"/>
      <c r="F20" s="892"/>
      <c r="G20" s="892"/>
      <c r="H20" s="125">
        <f t="shared" si="1"/>
        <v>0</v>
      </c>
      <c r="IA20" s="407"/>
      <c r="IB20" s="407"/>
      <c r="IC20" s="407"/>
      <c r="ID20" s="407"/>
      <c r="IE20" s="407"/>
      <c r="IF20" s="407"/>
      <c r="IG20" s="407"/>
      <c r="IH20" s="407"/>
      <c r="II20" s="407"/>
      <c r="IJ20" s="407"/>
      <c r="IK20" s="407"/>
      <c r="IL20" s="407"/>
      <c r="IM20" s="407"/>
      <c r="IN20" s="407"/>
      <c r="IO20" s="407"/>
      <c r="IP20" s="407"/>
      <c r="IQ20" s="407"/>
      <c r="IR20" s="407"/>
      <c r="IS20" s="407"/>
      <c r="IT20" s="407"/>
      <c r="IU20" s="407"/>
      <c r="IV20" s="407"/>
    </row>
    <row r="21" spans="1:256" s="406" customFormat="1" ht="12.75" customHeight="1" x14ac:dyDescent="0.3">
      <c r="A21" s="423" t="s">
        <v>675</v>
      </c>
      <c r="B21" s="967">
        <f>+B22+B23</f>
        <v>1512480</v>
      </c>
      <c r="C21" s="967"/>
      <c r="D21" s="967">
        <f>+D22+D23</f>
        <v>1512480</v>
      </c>
      <c r="E21" s="967"/>
      <c r="F21" s="967">
        <f>+F22+F23</f>
        <v>70762.149999999994</v>
      </c>
      <c r="G21" s="967"/>
      <c r="H21" s="125">
        <f t="shared" si="1"/>
        <v>4.6785511213371413E-2</v>
      </c>
      <c r="IV21" s="407"/>
    </row>
    <row r="22" spans="1:256" s="406" customFormat="1" ht="12.75" customHeight="1" x14ac:dyDescent="0.3">
      <c r="A22" s="423" t="s">
        <v>676</v>
      </c>
      <c r="B22" s="892">
        <v>1512480</v>
      </c>
      <c r="C22" s="892"/>
      <c r="D22" s="892">
        <v>1512480</v>
      </c>
      <c r="E22" s="892"/>
      <c r="F22" s="892">
        <v>70762.149999999994</v>
      </c>
      <c r="G22" s="892"/>
      <c r="H22" s="125">
        <f t="shared" si="1"/>
        <v>4.6785511213371413E-2</v>
      </c>
      <c r="IV22" s="407"/>
    </row>
    <row r="23" spans="1:256" s="406" customFormat="1" ht="12.75" customHeight="1" x14ac:dyDescent="0.3">
      <c r="A23" s="423" t="s">
        <v>677</v>
      </c>
      <c r="B23" s="892"/>
      <c r="C23" s="892"/>
      <c r="D23" s="892"/>
      <c r="E23" s="892"/>
      <c r="F23" s="892"/>
      <c r="G23" s="892"/>
      <c r="H23" s="125">
        <f t="shared" si="1"/>
        <v>0</v>
      </c>
      <c r="IV23" s="407"/>
    </row>
    <row r="24" spans="1:256" s="406" customFormat="1" ht="12.75" customHeight="1" x14ac:dyDescent="0.3">
      <c r="A24" s="423" t="s">
        <v>678</v>
      </c>
      <c r="B24" s="892"/>
      <c r="C24" s="892"/>
      <c r="D24" s="892"/>
      <c r="E24" s="892"/>
      <c r="F24" s="892"/>
      <c r="G24" s="892"/>
      <c r="H24" s="125">
        <f t="shared" si="1"/>
        <v>0</v>
      </c>
      <c r="IV24" s="407"/>
    </row>
    <row r="25" spans="1:256" s="406" customFormat="1" ht="12.75" customHeight="1" x14ac:dyDescent="0.3">
      <c r="A25" s="423" t="s">
        <v>679</v>
      </c>
      <c r="B25" s="967">
        <f>+B26+B27</f>
        <v>182000</v>
      </c>
      <c r="C25" s="967"/>
      <c r="D25" s="967">
        <f>+D26+D27</f>
        <v>182000</v>
      </c>
      <c r="E25" s="967"/>
      <c r="F25" s="967">
        <f>+F26+F27</f>
        <v>0</v>
      </c>
      <c r="G25" s="967"/>
      <c r="H25" s="125">
        <f t="shared" si="1"/>
        <v>0</v>
      </c>
      <c r="IV25" s="407"/>
    </row>
    <row r="26" spans="1:256" s="406" customFormat="1" ht="12.75" customHeight="1" x14ac:dyDescent="0.3">
      <c r="A26" s="424" t="s">
        <v>680</v>
      </c>
      <c r="B26" s="892">
        <v>22000</v>
      </c>
      <c r="C26" s="892"/>
      <c r="D26" s="892">
        <v>22000</v>
      </c>
      <c r="E26" s="892"/>
      <c r="F26" s="892"/>
      <c r="G26" s="892"/>
      <c r="H26" s="125">
        <f t="shared" si="1"/>
        <v>0</v>
      </c>
      <c r="IV26" s="407"/>
    </row>
    <row r="27" spans="1:256" s="406" customFormat="1" ht="12.75" customHeight="1" x14ac:dyDescent="0.3">
      <c r="A27" s="423" t="s">
        <v>681</v>
      </c>
      <c r="B27" s="892">
        <v>160000</v>
      </c>
      <c r="C27" s="892"/>
      <c r="D27" s="892">
        <v>160000</v>
      </c>
      <c r="E27" s="892"/>
      <c r="F27" s="892"/>
      <c r="G27" s="892"/>
      <c r="H27" s="125">
        <f t="shared" si="1"/>
        <v>0</v>
      </c>
      <c r="IV27" s="407"/>
    </row>
    <row r="28" spans="1:256" s="406" customFormat="1" ht="12.75" customHeight="1" x14ac:dyDescent="0.3">
      <c r="A28" s="423" t="s">
        <v>682</v>
      </c>
      <c r="B28" s="1057">
        <f>SUM(B29,B33:C38)</f>
        <v>14272113.129999999</v>
      </c>
      <c r="C28" s="1057"/>
      <c r="D28" s="1057">
        <f>SUM(D29,D33:E38)</f>
        <v>14272113.129999999</v>
      </c>
      <c r="E28" s="1057"/>
      <c r="F28" s="1057">
        <f>SUM(F29,F33:G38)</f>
        <v>13606904.630000001</v>
      </c>
      <c r="G28" s="1057"/>
      <c r="H28" s="125">
        <f t="shared" si="1"/>
        <v>0.95339102948940835</v>
      </c>
      <c r="I28" s="425"/>
      <c r="IV28" s="407"/>
    </row>
    <row r="29" spans="1:256" s="406" customFormat="1" ht="12.75" customHeight="1" x14ac:dyDescent="0.3">
      <c r="A29" s="423" t="s">
        <v>683</v>
      </c>
      <c r="B29" s="967">
        <f>SUM(B30:B31)</f>
        <v>11953044.189999999</v>
      </c>
      <c r="C29" s="967"/>
      <c r="D29" s="967">
        <f>SUM(D30:D31)</f>
        <v>11953044.189999999</v>
      </c>
      <c r="E29" s="967"/>
      <c r="F29" s="967">
        <f>SUM(F30:F31)</f>
        <v>7920312.6500000004</v>
      </c>
      <c r="G29" s="967"/>
      <c r="H29" s="125">
        <f t="shared" si="1"/>
        <v>0.66261887131867125</v>
      </c>
      <c r="IV29" s="407"/>
    </row>
    <row r="30" spans="1:256" s="406" customFormat="1" ht="12.75" customHeight="1" x14ac:dyDescent="0.3">
      <c r="A30" s="423" t="s">
        <v>684</v>
      </c>
      <c r="B30" s="892">
        <v>11953044.189999999</v>
      </c>
      <c r="C30" s="892"/>
      <c r="D30" s="892">
        <v>11953044.189999999</v>
      </c>
      <c r="E30" s="892"/>
      <c r="F30" s="892">
        <v>7920312.6500000004</v>
      </c>
      <c r="G30" s="892"/>
      <c r="H30" s="125">
        <f t="shared" si="1"/>
        <v>0.66261887131867125</v>
      </c>
      <c r="IV30" s="407"/>
    </row>
    <row r="31" spans="1:256" s="406" customFormat="1" ht="12.75" customHeight="1" x14ac:dyDescent="0.3">
      <c r="A31" s="423" t="s">
        <v>685</v>
      </c>
      <c r="B31" s="892"/>
      <c r="C31" s="892"/>
      <c r="D31" s="892"/>
      <c r="E31" s="892"/>
      <c r="F31" s="892"/>
      <c r="G31" s="892"/>
      <c r="H31" s="125">
        <f t="shared" si="1"/>
        <v>0</v>
      </c>
      <c r="IV31" s="407"/>
    </row>
    <row r="32" spans="1:256" s="406" customFormat="1" ht="12.75" customHeight="1" x14ac:dyDescent="0.3">
      <c r="A32" s="423" t="s">
        <v>686</v>
      </c>
      <c r="B32" s="893"/>
      <c r="C32" s="893"/>
      <c r="D32" s="893"/>
      <c r="E32" s="893"/>
      <c r="F32" s="893"/>
      <c r="G32" s="893"/>
      <c r="H32" s="125">
        <f t="shared" si="1"/>
        <v>0</v>
      </c>
      <c r="IV32" s="407"/>
    </row>
    <row r="33" spans="1:256" s="406" customFormat="1" ht="12.75" customHeight="1" x14ac:dyDescent="0.3">
      <c r="A33" s="423" t="s">
        <v>687</v>
      </c>
      <c r="B33" s="892">
        <v>1742170.49</v>
      </c>
      <c r="C33" s="892"/>
      <c r="D33" s="892">
        <v>1742170.49</v>
      </c>
      <c r="E33" s="892"/>
      <c r="F33" s="892">
        <v>5054616.45</v>
      </c>
      <c r="G33" s="892"/>
      <c r="H33" s="125">
        <f t="shared" si="1"/>
        <v>2.9013328368338969</v>
      </c>
      <c r="IV33" s="407"/>
    </row>
    <row r="34" spans="1:256" s="406" customFormat="1" ht="12.75" customHeight="1" x14ac:dyDescent="0.3">
      <c r="A34" s="423" t="s">
        <v>688</v>
      </c>
      <c r="B34" s="892">
        <v>103650.94</v>
      </c>
      <c r="C34" s="892"/>
      <c r="D34" s="892">
        <v>103650.94</v>
      </c>
      <c r="E34" s="892"/>
      <c r="F34" s="892">
        <v>32044</v>
      </c>
      <c r="G34" s="892"/>
      <c r="H34" s="125">
        <f t="shared" si="1"/>
        <v>0.30915300912852312</v>
      </c>
      <c r="IV34" s="407"/>
    </row>
    <row r="35" spans="1:256" s="406" customFormat="1" ht="12.75" customHeight="1" x14ac:dyDescent="0.3">
      <c r="A35" s="423" t="s">
        <v>689</v>
      </c>
      <c r="B35" s="892">
        <v>45460.94</v>
      </c>
      <c r="C35" s="892"/>
      <c r="D35" s="892">
        <v>45460.94</v>
      </c>
      <c r="E35" s="892"/>
      <c r="F35" s="892">
        <v>416410.07</v>
      </c>
      <c r="G35" s="892"/>
      <c r="H35" s="125">
        <f t="shared" si="1"/>
        <v>9.1597329487687666</v>
      </c>
      <c r="IV35" s="407"/>
    </row>
    <row r="36" spans="1:256" s="406" customFormat="1" ht="12.75" customHeight="1" x14ac:dyDescent="0.3">
      <c r="A36" s="423" t="s">
        <v>690</v>
      </c>
      <c r="B36" s="892">
        <v>113720.94</v>
      </c>
      <c r="C36" s="892"/>
      <c r="D36" s="892">
        <v>113720.94</v>
      </c>
      <c r="E36" s="892"/>
      <c r="F36" s="892">
        <v>2355.29</v>
      </c>
      <c r="G36" s="892"/>
      <c r="H36" s="125">
        <f t="shared" si="1"/>
        <v>2.0711137280434017E-2</v>
      </c>
      <c r="IV36" s="407"/>
    </row>
    <row r="37" spans="1:256" s="406" customFormat="1" ht="12.75" customHeight="1" x14ac:dyDescent="0.3">
      <c r="A37" s="423" t="s">
        <v>691</v>
      </c>
      <c r="B37" s="892">
        <v>314065.63</v>
      </c>
      <c r="C37" s="892"/>
      <c r="D37" s="892">
        <v>314065.63</v>
      </c>
      <c r="E37" s="892"/>
      <c r="F37" s="892">
        <v>181166.17</v>
      </c>
      <c r="G37" s="892"/>
      <c r="H37" s="125">
        <f t="shared" si="1"/>
        <v>0.57684175756513056</v>
      </c>
      <c r="IV37" s="407"/>
    </row>
    <row r="38" spans="1:256" s="406" customFormat="1" ht="12.75" customHeight="1" x14ac:dyDescent="0.3">
      <c r="A38" s="423" t="s">
        <v>692</v>
      </c>
      <c r="B38" s="892"/>
      <c r="C38" s="892"/>
      <c r="D38" s="892"/>
      <c r="E38" s="892"/>
      <c r="F38" s="892">
        <v>0</v>
      </c>
      <c r="G38" s="892"/>
      <c r="H38" s="125">
        <f t="shared" si="1"/>
        <v>0</v>
      </c>
      <c r="IV38" s="407"/>
    </row>
    <row r="39" spans="1:256" s="406" customFormat="1" ht="12.75" customHeight="1" x14ac:dyDescent="0.3">
      <c r="A39" s="426" t="s">
        <v>693</v>
      </c>
      <c r="B39" s="1058">
        <f>B14+B28</f>
        <v>16012459.09</v>
      </c>
      <c r="C39" s="1058"/>
      <c r="D39" s="1058">
        <f>D14+D28</f>
        <v>16012459.09</v>
      </c>
      <c r="E39" s="1058"/>
      <c r="F39" s="1058">
        <f>F14+F28</f>
        <v>13681881.200000001</v>
      </c>
      <c r="G39" s="1058"/>
      <c r="H39" s="427">
        <f t="shared" si="1"/>
        <v>0.85445221893147716</v>
      </c>
      <c r="I39" s="425"/>
      <c r="IV39" s="407"/>
    </row>
    <row r="40" spans="1:256" s="406" customFormat="1" ht="12.75" customHeight="1" x14ac:dyDescent="0.3">
      <c r="A40" s="428"/>
      <c r="B40" s="1052" t="s">
        <v>33</v>
      </c>
      <c r="C40" s="1052"/>
      <c r="D40" s="1053" t="s">
        <v>34</v>
      </c>
      <c r="E40" s="1053"/>
      <c r="F40" s="1054" t="s">
        <v>35</v>
      </c>
      <c r="G40" s="1054"/>
      <c r="H40" s="1054"/>
      <c r="IV40" s="407"/>
    </row>
    <row r="41" spans="1:256" s="406" customFormat="1" ht="12.75" customHeight="1" x14ac:dyDescent="0.3">
      <c r="A41" s="429" t="s">
        <v>694</v>
      </c>
      <c r="B41" s="1052"/>
      <c r="C41" s="1052"/>
      <c r="D41" s="1053"/>
      <c r="E41" s="1053"/>
      <c r="F41" s="1055" t="s">
        <v>39</v>
      </c>
      <c r="G41" s="1055"/>
      <c r="H41" s="415" t="s">
        <v>38</v>
      </c>
      <c r="IV41" s="407"/>
    </row>
    <row r="42" spans="1:256" s="406" customFormat="1" ht="12.75" customHeight="1" x14ac:dyDescent="0.3">
      <c r="A42" s="417"/>
      <c r="B42" s="1052"/>
      <c r="C42" s="1052"/>
      <c r="D42" s="1056" t="s">
        <v>40</v>
      </c>
      <c r="E42" s="1056"/>
      <c r="F42" s="1056" t="s">
        <v>41</v>
      </c>
      <c r="G42" s="1056"/>
      <c r="H42" s="419" t="s">
        <v>666</v>
      </c>
      <c r="IV42" s="407"/>
    </row>
    <row r="43" spans="1:256" s="406" customFormat="1" ht="25.5" customHeight="1" x14ac:dyDescent="0.3">
      <c r="A43" s="423" t="s">
        <v>695</v>
      </c>
      <c r="B43" s="893"/>
      <c r="C43" s="893"/>
      <c r="D43" s="893"/>
      <c r="E43" s="893"/>
      <c r="F43" s="893"/>
      <c r="G43" s="893"/>
      <c r="H43" s="125">
        <f t="shared" ref="H43:H56" si="2">IF(D43="",0,IF(D43=0,0,F43/D43))</f>
        <v>0</v>
      </c>
      <c r="I43" s="23"/>
      <c r="IV43" s="407"/>
    </row>
    <row r="44" spans="1:256" s="406" customFormat="1" ht="12.75" customHeight="1" x14ac:dyDescent="0.3">
      <c r="A44" s="423" t="s">
        <v>696</v>
      </c>
      <c r="B44" s="967">
        <f>SUM(B45:C50)</f>
        <v>3334575.3600000003</v>
      </c>
      <c r="C44" s="967"/>
      <c r="D44" s="967">
        <f>SUM(D45:E50)</f>
        <v>3334575.3600000003</v>
      </c>
      <c r="E44" s="967"/>
      <c r="F44" s="967">
        <f>SUM(F45:G50)</f>
        <v>569150.75</v>
      </c>
      <c r="G44" s="967"/>
      <c r="H44" s="125">
        <f t="shared" si="2"/>
        <v>0.17068162766008083</v>
      </c>
      <c r="I44" s="23"/>
      <c r="IV44" s="407"/>
    </row>
    <row r="45" spans="1:256" s="406" customFormat="1" ht="12.75" customHeight="1" x14ac:dyDescent="0.3">
      <c r="A45" s="423" t="s">
        <v>697</v>
      </c>
      <c r="B45" s="892">
        <v>493933.89</v>
      </c>
      <c r="C45" s="892"/>
      <c r="D45" s="892">
        <v>493933.89</v>
      </c>
      <c r="E45" s="892"/>
      <c r="F45" s="892">
        <v>162540.69</v>
      </c>
      <c r="G45" s="892"/>
      <c r="H45" s="125">
        <f t="shared" si="2"/>
        <v>0.32907377543986704</v>
      </c>
      <c r="I45" s="23"/>
      <c r="IV45" s="407"/>
    </row>
    <row r="46" spans="1:256" s="406" customFormat="1" ht="12.75" customHeight="1" x14ac:dyDescent="0.3">
      <c r="A46" s="430" t="s">
        <v>698</v>
      </c>
      <c r="B46" s="892">
        <v>604560.16</v>
      </c>
      <c r="C46" s="892"/>
      <c r="D46" s="892">
        <v>604560.16</v>
      </c>
      <c r="E46" s="892"/>
      <c r="F46" s="892"/>
      <c r="G46" s="892"/>
      <c r="H46" s="125">
        <f t="shared" si="2"/>
        <v>0</v>
      </c>
      <c r="I46" s="23"/>
      <c r="IV46" s="407"/>
    </row>
    <row r="47" spans="1:256" s="406" customFormat="1" ht="12.75" customHeight="1" x14ac:dyDescent="0.3">
      <c r="A47" s="430" t="s">
        <v>699</v>
      </c>
      <c r="B47" s="892">
        <v>1230768.1100000001</v>
      </c>
      <c r="C47" s="892"/>
      <c r="D47" s="892">
        <v>1230768.1100000001</v>
      </c>
      <c r="E47" s="892"/>
      <c r="F47" s="892">
        <v>397112.81</v>
      </c>
      <c r="G47" s="892"/>
      <c r="H47" s="125">
        <f t="shared" si="2"/>
        <v>0.32265445194221026</v>
      </c>
      <c r="I47" s="23"/>
      <c r="IV47" s="407"/>
    </row>
    <row r="48" spans="1:256" s="406" customFormat="1" ht="12.75" customHeight="1" x14ac:dyDescent="0.3">
      <c r="A48" s="430" t="s">
        <v>700</v>
      </c>
      <c r="B48" s="892">
        <v>547902.62</v>
      </c>
      <c r="C48" s="892"/>
      <c r="D48" s="892">
        <v>547902.62</v>
      </c>
      <c r="E48" s="892"/>
      <c r="F48" s="892">
        <v>9497.25</v>
      </c>
      <c r="G48" s="892"/>
      <c r="H48" s="125">
        <f t="shared" si="2"/>
        <v>1.7333828409143215E-2</v>
      </c>
      <c r="I48" s="23"/>
      <c r="IV48" s="407"/>
    </row>
    <row r="49" spans="1:256" s="406" customFormat="1" ht="12.75" customHeight="1" x14ac:dyDescent="0.3">
      <c r="A49" s="423" t="s">
        <v>701</v>
      </c>
      <c r="B49" s="892">
        <v>457410.58</v>
      </c>
      <c r="C49" s="892"/>
      <c r="D49" s="892">
        <v>457410.58</v>
      </c>
      <c r="E49" s="892"/>
      <c r="F49" s="892"/>
      <c r="G49" s="892"/>
      <c r="H49" s="125">
        <f t="shared" si="2"/>
        <v>0</v>
      </c>
      <c r="I49" s="23"/>
      <c r="IV49" s="407"/>
    </row>
    <row r="50" spans="1:256" s="406" customFormat="1" ht="12.75" customHeight="1" x14ac:dyDescent="0.3">
      <c r="A50" s="423" t="s">
        <v>702</v>
      </c>
      <c r="B50" s="892"/>
      <c r="C50" s="892"/>
      <c r="D50" s="892"/>
      <c r="E50" s="892"/>
      <c r="F50" s="892"/>
      <c r="G50" s="892"/>
      <c r="H50" s="125">
        <f t="shared" si="2"/>
        <v>0</v>
      </c>
      <c r="I50" s="23"/>
      <c r="IV50" s="407"/>
    </row>
    <row r="51" spans="1:256" s="406" customFormat="1" ht="12.75" customHeight="1" x14ac:dyDescent="0.3">
      <c r="A51" s="423" t="s">
        <v>703</v>
      </c>
      <c r="B51" s="967">
        <f>B52+B53</f>
        <v>0</v>
      </c>
      <c r="C51" s="967"/>
      <c r="D51" s="967">
        <f>D52+D53</f>
        <v>0</v>
      </c>
      <c r="E51" s="967"/>
      <c r="F51" s="967">
        <f>F52+F53</f>
        <v>0</v>
      </c>
      <c r="G51" s="967"/>
      <c r="H51" s="125">
        <f t="shared" si="2"/>
        <v>0</v>
      </c>
      <c r="I51" s="23"/>
      <c r="IV51" s="407"/>
    </row>
    <row r="52" spans="1:256" s="406" customFormat="1" ht="12.75" customHeight="1" x14ac:dyDescent="0.3">
      <c r="A52" s="431" t="s">
        <v>704</v>
      </c>
      <c r="B52" s="892"/>
      <c r="C52" s="892"/>
      <c r="D52" s="892"/>
      <c r="E52" s="892"/>
      <c r="F52" s="892"/>
      <c r="G52" s="892"/>
      <c r="H52" s="125">
        <f t="shared" si="2"/>
        <v>0</v>
      </c>
      <c r="IV52" s="407"/>
    </row>
    <row r="53" spans="1:256" s="406" customFormat="1" ht="12.75" customHeight="1" x14ac:dyDescent="0.3">
      <c r="A53" s="432" t="s">
        <v>705</v>
      </c>
      <c r="B53" s="892"/>
      <c r="C53" s="892"/>
      <c r="D53" s="892"/>
      <c r="E53" s="892"/>
      <c r="F53" s="892"/>
      <c r="G53" s="892"/>
      <c r="H53" s="125">
        <f t="shared" si="2"/>
        <v>0</v>
      </c>
      <c r="IV53" s="407"/>
    </row>
    <row r="54" spans="1:256" s="406" customFormat="1" ht="12.75" customHeight="1" x14ac:dyDescent="0.3">
      <c r="A54" s="423" t="s">
        <v>706</v>
      </c>
      <c r="B54" s="892"/>
      <c r="C54" s="892"/>
      <c r="D54" s="892"/>
      <c r="E54" s="892"/>
      <c r="F54" s="892"/>
      <c r="G54" s="892"/>
      <c r="H54" s="125">
        <f t="shared" si="2"/>
        <v>0</v>
      </c>
      <c r="IV54" s="407"/>
    </row>
    <row r="55" spans="1:256" s="406" customFormat="1" ht="12.75" customHeight="1" x14ac:dyDescent="0.3">
      <c r="A55" s="423" t="s">
        <v>707</v>
      </c>
      <c r="B55" s="892"/>
      <c r="C55" s="892"/>
      <c r="D55" s="892"/>
      <c r="E55" s="892"/>
      <c r="F55" s="892"/>
      <c r="G55" s="892"/>
      <c r="H55" s="125">
        <f t="shared" si="2"/>
        <v>0</v>
      </c>
      <c r="IV55" s="407"/>
    </row>
    <row r="56" spans="1:256" s="406" customFormat="1" ht="15" customHeight="1" x14ac:dyDescent="0.3">
      <c r="A56" s="426" t="s">
        <v>708</v>
      </c>
      <c r="B56" s="1058">
        <f>SUM(B43,B44,B51,B54:C55)</f>
        <v>3334575.3600000003</v>
      </c>
      <c r="C56" s="1058"/>
      <c r="D56" s="1058">
        <f>SUM(D43,D44,D51,D54:E55)</f>
        <v>3334575.3600000003</v>
      </c>
      <c r="E56" s="1058"/>
      <c r="F56" s="1058">
        <f>SUM(F43,F44,F51,F54:G55)</f>
        <v>569150.75</v>
      </c>
      <c r="G56" s="1058"/>
      <c r="H56" s="427">
        <f t="shared" si="2"/>
        <v>0.17068162766008083</v>
      </c>
      <c r="I56" s="425"/>
      <c r="IV56" s="407"/>
    </row>
    <row r="57" spans="1:256" s="406" customFormat="1" ht="12.75" customHeight="1" x14ac:dyDescent="0.3">
      <c r="A57" s="1051" t="s">
        <v>709</v>
      </c>
      <c r="B57" s="1051"/>
      <c r="C57" s="1051"/>
      <c r="D57" s="1051"/>
      <c r="E57" s="1051"/>
      <c r="F57" s="1051"/>
      <c r="G57" s="1051"/>
      <c r="H57" s="1051"/>
      <c r="IV57" s="407"/>
    </row>
    <row r="58" spans="1:256" s="406" customFormat="1" ht="12.75" customHeight="1" x14ac:dyDescent="0.3">
      <c r="A58" s="428"/>
      <c r="B58" s="1052" t="s">
        <v>33</v>
      </c>
      <c r="C58" s="1052"/>
      <c r="D58" s="1055" t="s">
        <v>710</v>
      </c>
      <c r="E58" s="1055"/>
      <c r="F58" s="1054" t="s">
        <v>35</v>
      </c>
      <c r="G58" s="1054"/>
      <c r="H58" s="1054"/>
      <c r="IV58" s="407"/>
    </row>
    <row r="59" spans="1:256" s="406" customFormat="1" ht="12.75" customHeight="1" x14ac:dyDescent="0.3">
      <c r="A59" s="429" t="s">
        <v>711</v>
      </c>
      <c r="B59" s="1052"/>
      <c r="C59" s="1052"/>
      <c r="D59" s="1059" t="s">
        <v>206</v>
      </c>
      <c r="E59" s="1059"/>
      <c r="F59" s="1055" t="s">
        <v>39</v>
      </c>
      <c r="G59" s="1055"/>
      <c r="H59" s="415" t="s">
        <v>38</v>
      </c>
      <c r="IV59" s="407"/>
    </row>
    <row r="60" spans="1:256" s="406" customFormat="1" ht="12.75" customHeight="1" x14ac:dyDescent="0.3">
      <c r="A60" s="434"/>
      <c r="B60" s="1052"/>
      <c r="C60" s="1052"/>
      <c r="D60" s="1056" t="s">
        <v>40</v>
      </c>
      <c r="E60" s="1056"/>
      <c r="F60" s="1056" t="s">
        <v>41</v>
      </c>
      <c r="G60" s="1056"/>
      <c r="H60" s="419" t="s">
        <v>666</v>
      </c>
      <c r="IV60" s="407"/>
    </row>
    <row r="61" spans="1:256" s="406" customFormat="1" ht="12.75" customHeight="1" x14ac:dyDescent="0.3">
      <c r="A61" s="435" t="s">
        <v>712</v>
      </c>
      <c r="B61" s="967">
        <f>SUM(B62:C67)</f>
        <v>2889176.13</v>
      </c>
      <c r="C61" s="967"/>
      <c r="D61" s="967">
        <f>SUM(D62:E67)</f>
        <v>2889206.13</v>
      </c>
      <c r="E61" s="967"/>
      <c r="F61" s="967">
        <f>SUM(F62:G67)</f>
        <v>2641019.6099999994</v>
      </c>
      <c r="G61" s="967"/>
      <c r="H61" s="125">
        <f t="shared" ref="H61:H72" si="3">IF(D61="",0,IF(D61=0,0,F61/D61))</f>
        <v>0.91409871472202631</v>
      </c>
      <c r="IV61" s="407"/>
    </row>
    <row r="62" spans="1:256" s="406" customFormat="1" ht="12.75" customHeight="1" x14ac:dyDescent="0.3">
      <c r="A62" s="423" t="s">
        <v>713</v>
      </c>
      <c r="B62" s="892">
        <v>2390608.84</v>
      </c>
      <c r="C62" s="892"/>
      <c r="D62" s="892">
        <v>2390608.84</v>
      </c>
      <c r="E62" s="892"/>
      <c r="F62" s="892">
        <v>1503811.02</v>
      </c>
      <c r="G62" s="892"/>
      <c r="H62" s="125">
        <f t="shared" si="3"/>
        <v>0.62904938475840322</v>
      </c>
      <c r="IV62" s="407"/>
    </row>
    <row r="63" spans="1:256" s="406" customFormat="1" ht="12.75" customHeight="1" x14ac:dyDescent="0.3">
      <c r="A63" s="423" t="s">
        <v>714</v>
      </c>
      <c r="B63" s="892">
        <v>348434.1</v>
      </c>
      <c r="C63" s="892"/>
      <c r="D63" s="892">
        <v>348464.1</v>
      </c>
      <c r="E63" s="892"/>
      <c r="F63" s="892">
        <v>1010923.29</v>
      </c>
      <c r="G63" s="892"/>
      <c r="H63" s="125">
        <f t="shared" si="3"/>
        <v>2.9010830383962083</v>
      </c>
      <c r="IV63" s="407"/>
    </row>
    <row r="64" spans="1:256" s="406" customFormat="1" ht="12.75" customHeight="1" x14ac:dyDescent="0.3">
      <c r="A64" s="423" t="s">
        <v>715</v>
      </c>
      <c r="B64" s="892">
        <v>20730.189999999999</v>
      </c>
      <c r="C64" s="892"/>
      <c r="D64" s="892">
        <v>20730.189999999999</v>
      </c>
      <c r="E64" s="892"/>
      <c r="F64" s="892">
        <v>6408.8</v>
      </c>
      <c r="G64" s="892"/>
      <c r="H64" s="125">
        <f t="shared" si="3"/>
        <v>0.30915297930216756</v>
      </c>
      <c r="IV64" s="407"/>
    </row>
    <row r="65" spans="1:256" s="406" customFormat="1" ht="12.75" customHeight="1" x14ac:dyDescent="0.3">
      <c r="A65" s="423" t="s">
        <v>716</v>
      </c>
      <c r="B65" s="892">
        <v>9092.19</v>
      </c>
      <c r="C65" s="892"/>
      <c r="D65" s="892">
        <v>9092.19</v>
      </c>
      <c r="E65" s="892"/>
      <c r="F65" s="892">
        <v>83282.009999999995</v>
      </c>
      <c r="G65" s="892"/>
      <c r="H65" s="125">
        <f t="shared" si="3"/>
        <v>9.1597304939733988</v>
      </c>
      <c r="IV65" s="407"/>
    </row>
    <row r="66" spans="1:256" s="406" customFormat="1" ht="15" customHeight="1" x14ac:dyDescent="0.3">
      <c r="A66" s="423" t="s">
        <v>717</v>
      </c>
      <c r="B66" s="892">
        <v>57497.68</v>
      </c>
      <c r="C66" s="892"/>
      <c r="D66" s="892">
        <v>57497.68</v>
      </c>
      <c r="E66" s="892"/>
      <c r="F66" s="892">
        <v>361.26</v>
      </c>
      <c r="G66" s="892"/>
      <c r="H66" s="125">
        <f t="shared" si="3"/>
        <v>6.2830361155441399E-3</v>
      </c>
      <c r="IV66" s="407"/>
    </row>
    <row r="67" spans="1:256" s="406" customFormat="1" ht="12.75" customHeight="1" x14ac:dyDescent="0.3">
      <c r="A67" s="423" t="s">
        <v>718</v>
      </c>
      <c r="B67" s="892">
        <v>62813.13</v>
      </c>
      <c r="C67" s="892"/>
      <c r="D67" s="892">
        <v>62813.13</v>
      </c>
      <c r="E67" s="892"/>
      <c r="F67" s="892">
        <v>36233.230000000003</v>
      </c>
      <c r="G67" s="892"/>
      <c r="H67" s="125">
        <f t="shared" si="3"/>
        <v>0.5768416571503443</v>
      </c>
      <c r="IV67" s="407"/>
    </row>
    <row r="68" spans="1:256" s="406" customFormat="1" ht="12.75" customHeight="1" x14ac:dyDescent="0.3">
      <c r="A68" s="423" t="s">
        <v>719</v>
      </c>
      <c r="B68" s="967">
        <f>SUM(B69:C71)</f>
        <v>16757913.32</v>
      </c>
      <c r="C68" s="967"/>
      <c r="D68" s="967">
        <f>SUM(D69:E71)</f>
        <v>16757913.199999999</v>
      </c>
      <c r="E68" s="967"/>
      <c r="F68" s="967">
        <f>SUM(F69:G71)</f>
        <v>9352408.1400000006</v>
      </c>
      <c r="G68" s="967"/>
      <c r="H68" s="125">
        <f t="shared" si="3"/>
        <v>0.55808906684156834</v>
      </c>
      <c r="I68" s="23"/>
      <c r="IV68" s="407"/>
    </row>
    <row r="69" spans="1:256" s="406" customFormat="1" ht="12.75" customHeight="1" x14ac:dyDescent="0.3">
      <c r="A69" s="423" t="s">
        <v>720</v>
      </c>
      <c r="B69" s="892">
        <v>16757913.32</v>
      </c>
      <c r="C69" s="892"/>
      <c r="D69" s="892">
        <v>16757913.199999999</v>
      </c>
      <c r="E69" s="892"/>
      <c r="F69" s="892">
        <v>9352408.1400000006</v>
      </c>
      <c r="G69" s="892"/>
      <c r="H69" s="125">
        <f t="shared" si="3"/>
        <v>0.55808906684156834</v>
      </c>
      <c r="IV69" s="407"/>
    </row>
    <row r="70" spans="1:256" s="406" customFormat="1" ht="12.75" customHeight="1" x14ac:dyDescent="0.3">
      <c r="A70" s="423" t="s">
        <v>721</v>
      </c>
      <c r="B70" s="892"/>
      <c r="C70" s="892"/>
      <c r="D70" s="892"/>
      <c r="E70" s="892"/>
      <c r="F70" s="892"/>
      <c r="G70" s="892"/>
      <c r="H70" s="125">
        <f t="shared" si="3"/>
        <v>0</v>
      </c>
      <c r="IV70" s="407"/>
    </row>
    <row r="71" spans="1:256" s="406" customFormat="1" ht="15" customHeight="1" x14ac:dyDescent="0.3">
      <c r="A71" s="423" t="s">
        <v>722</v>
      </c>
      <c r="B71" s="892"/>
      <c r="C71" s="892"/>
      <c r="D71" s="892"/>
      <c r="E71" s="892"/>
      <c r="F71" s="892">
        <v>0</v>
      </c>
      <c r="G71" s="892"/>
      <c r="H71" s="125">
        <f t="shared" si="3"/>
        <v>0</v>
      </c>
      <c r="IV71" s="407"/>
    </row>
    <row r="72" spans="1:256" s="406" customFormat="1" ht="15" customHeight="1" x14ac:dyDescent="0.3">
      <c r="A72" s="426" t="s">
        <v>723</v>
      </c>
      <c r="B72" s="1058">
        <f>B69-B61</f>
        <v>13868737.190000001</v>
      </c>
      <c r="C72" s="1058"/>
      <c r="D72" s="1058">
        <f>D69-D61</f>
        <v>13868707.07</v>
      </c>
      <c r="E72" s="1058"/>
      <c r="F72" s="1058">
        <f>F69-F61</f>
        <v>6711388.5300000012</v>
      </c>
      <c r="G72" s="1058"/>
      <c r="H72" s="436">
        <f t="shared" si="3"/>
        <v>0.4839231585269903</v>
      </c>
      <c r="IV72" s="407"/>
    </row>
    <row r="73" spans="1:256" s="406" customFormat="1" ht="15" customHeight="1" x14ac:dyDescent="0.3">
      <c r="A73" s="1060" t="s">
        <v>724</v>
      </c>
      <c r="B73" s="1060"/>
      <c r="C73" s="1060"/>
      <c r="D73" s="1060"/>
      <c r="E73" s="1060"/>
      <c r="F73" s="1061">
        <f>IF(F72&gt;0,F72,0)</f>
        <v>6711388.5300000012</v>
      </c>
      <c r="G73" s="1061"/>
      <c r="H73" s="1062"/>
      <c r="I73" s="437"/>
      <c r="J73" s="437"/>
      <c r="K73" s="437"/>
      <c r="L73" s="425"/>
      <c r="IV73" s="407"/>
    </row>
    <row r="74" spans="1:256" s="406" customFormat="1" ht="15" customHeight="1" x14ac:dyDescent="0.3">
      <c r="A74" s="1063" t="s">
        <v>725</v>
      </c>
      <c r="B74" s="1063"/>
      <c r="C74" s="1063"/>
      <c r="D74" s="1063"/>
      <c r="E74" s="1063"/>
      <c r="F74" s="1061">
        <f>IF(F72&lt;0,F72,0)</f>
        <v>0</v>
      </c>
      <c r="G74" s="1061"/>
      <c r="H74" s="1062"/>
      <c r="I74" s="438"/>
      <c r="J74" s="438"/>
      <c r="K74" s="438"/>
      <c r="L74" s="425"/>
      <c r="IV74" s="407"/>
    </row>
    <row r="75" spans="1:256" s="406" customFormat="1" ht="44.25" customHeight="1" x14ac:dyDescent="0.3">
      <c r="A75" s="1064" t="s">
        <v>726</v>
      </c>
      <c r="B75" s="1065" t="s">
        <v>124</v>
      </c>
      <c r="C75" s="1065" t="s">
        <v>125</v>
      </c>
      <c r="D75" s="1066" t="s">
        <v>126</v>
      </c>
      <c r="E75" s="1066"/>
      <c r="F75" s="1052" t="s">
        <v>127</v>
      </c>
      <c r="G75" s="1052"/>
      <c r="H75" s="1067" t="s">
        <v>727</v>
      </c>
      <c r="I75" s="439"/>
      <c r="J75" s="440"/>
      <c r="K75" s="441"/>
      <c r="L75" s="425"/>
      <c r="IV75" s="407"/>
    </row>
    <row r="76" spans="1:256" s="406" customFormat="1" ht="12.75" customHeight="1" x14ac:dyDescent="0.3">
      <c r="A76" s="1064"/>
      <c r="B76" s="1065"/>
      <c r="C76" s="1065"/>
      <c r="D76" s="414" t="s">
        <v>39</v>
      </c>
      <c r="E76" s="415" t="s">
        <v>38</v>
      </c>
      <c r="F76" s="414" t="s">
        <v>39</v>
      </c>
      <c r="G76" s="415" t="s">
        <v>38</v>
      </c>
      <c r="H76" s="1067"/>
      <c r="I76" s="441"/>
      <c r="J76" s="441"/>
      <c r="K76" s="425"/>
      <c r="L76" s="425"/>
      <c r="IV76" s="407"/>
    </row>
    <row r="77" spans="1:256" s="406" customFormat="1" ht="12.75" customHeight="1" x14ac:dyDescent="0.3">
      <c r="A77" s="1064"/>
      <c r="B77" s="1065"/>
      <c r="C77" s="433" t="s">
        <v>131</v>
      </c>
      <c r="D77" s="433" t="s">
        <v>132</v>
      </c>
      <c r="E77" s="429" t="s">
        <v>728</v>
      </c>
      <c r="F77" s="433" t="s">
        <v>650</v>
      </c>
      <c r="G77" s="429" t="s">
        <v>729</v>
      </c>
      <c r="H77" s="442" t="s">
        <v>651</v>
      </c>
      <c r="I77" s="441"/>
      <c r="J77" s="441"/>
      <c r="K77" s="441"/>
      <c r="L77" s="425"/>
      <c r="IV77" s="407"/>
    </row>
    <row r="78" spans="1:256" s="406" customFormat="1" ht="12.75" customHeight="1" x14ac:dyDescent="0.3">
      <c r="A78" s="443" t="s">
        <v>730</v>
      </c>
      <c r="B78" s="444">
        <f>SUM(B79:B80)</f>
        <v>8786426.6099999994</v>
      </c>
      <c r="C78" s="444">
        <f>SUM(C79:C80)</f>
        <v>8786426.6099999994</v>
      </c>
      <c r="D78" s="444">
        <f>SUM(D79:D80)</f>
        <v>6612335.0300000003</v>
      </c>
      <c r="E78" s="445">
        <f t="shared" ref="E78:E84" si="4">IF($C78="",0,IF($C78=0,0,D78/$C78))</f>
        <v>0.75256248341895626</v>
      </c>
      <c r="F78" s="444">
        <f>SUM(F79:F80)</f>
        <v>4868022.9400000004</v>
      </c>
      <c r="G78" s="445">
        <f t="shared" ref="G78:G84" si="5">IF($C78="",0,IF($C78=0,0,F78/$C78))</f>
        <v>0.5540389917397831</v>
      </c>
      <c r="H78" s="446">
        <f>SUM(H79:H80)</f>
        <v>0</v>
      </c>
      <c r="IV78" s="407"/>
    </row>
    <row r="79" spans="1:256" s="406" customFormat="1" ht="12.75" customHeight="1" x14ac:dyDescent="0.3">
      <c r="A79" s="447" t="s">
        <v>731</v>
      </c>
      <c r="B79" s="481">
        <v>293190.49</v>
      </c>
      <c r="C79" s="481">
        <v>293190.49</v>
      </c>
      <c r="D79" s="448">
        <v>5240</v>
      </c>
      <c r="E79" s="449">
        <f t="shared" si="4"/>
        <v>1.7872339583729337E-2</v>
      </c>
      <c r="F79" s="448">
        <v>5240</v>
      </c>
      <c r="G79" s="449">
        <f t="shared" si="5"/>
        <v>1.7872339583729337E-2</v>
      </c>
      <c r="H79" s="450"/>
      <c r="IV79" s="407"/>
    </row>
    <row r="80" spans="1:256" s="406" customFormat="1" ht="12.75" customHeight="1" x14ac:dyDescent="0.3">
      <c r="A80" s="447" t="s">
        <v>732</v>
      </c>
      <c r="B80" s="481">
        <v>8493236.1199999992</v>
      </c>
      <c r="C80" s="481">
        <v>8493236.1199999992</v>
      </c>
      <c r="D80" s="448">
        <v>6607095.0300000003</v>
      </c>
      <c r="E80" s="449">
        <f t="shared" si="4"/>
        <v>0.77792433139136619</v>
      </c>
      <c r="F80" s="448">
        <v>4862782.9400000004</v>
      </c>
      <c r="G80" s="449">
        <f t="shared" si="5"/>
        <v>0.57254771576985208</v>
      </c>
      <c r="H80" s="450"/>
      <c r="IV80" s="407"/>
    </row>
    <row r="81" spans="1:256" s="406" customFormat="1" ht="12.75" customHeight="1" x14ac:dyDescent="0.3">
      <c r="A81" s="447" t="s">
        <v>733</v>
      </c>
      <c r="B81" s="451">
        <f>SUM(B82:B83)</f>
        <v>2048876.09</v>
      </c>
      <c r="C81" s="451">
        <f>SUM(C82:C83)</f>
        <v>2048876.09</v>
      </c>
      <c r="D81" s="451">
        <f>SUM(D82:D83)</f>
        <v>1237784.43</v>
      </c>
      <c r="E81" s="449">
        <f t="shared" si="4"/>
        <v>0.60412849563782056</v>
      </c>
      <c r="F81" s="451">
        <f>SUM(F82:F83)</f>
        <v>941915.47</v>
      </c>
      <c r="G81" s="449">
        <f t="shared" si="5"/>
        <v>0.45972300355166912</v>
      </c>
      <c r="H81" s="452">
        <f>SUM(H82:H83)</f>
        <v>0</v>
      </c>
      <c r="IV81" s="407"/>
    </row>
    <row r="82" spans="1:256" s="406" customFormat="1" ht="12.75" customHeight="1" x14ac:dyDescent="0.3">
      <c r="A82" s="447" t="s">
        <v>734</v>
      </c>
      <c r="B82" s="448">
        <v>2048876.09</v>
      </c>
      <c r="C82" s="448">
        <v>2048876.09</v>
      </c>
      <c r="D82" s="448">
        <v>1237784.43</v>
      </c>
      <c r="E82" s="449">
        <f t="shared" si="4"/>
        <v>0.60412849563782056</v>
      </c>
      <c r="F82" s="448">
        <v>941915.47</v>
      </c>
      <c r="G82" s="449">
        <f t="shared" si="5"/>
        <v>0.45972300355166912</v>
      </c>
      <c r="H82" s="450"/>
      <c r="IV82" s="407"/>
    </row>
    <row r="83" spans="1:256" s="406" customFormat="1" ht="12.75" customHeight="1" x14ac:dyDescent="0.3">
      <c r="A83" s="453" t="s">
        <v>735</v>
      </c>
      <c r="B83" s="454"/>
      <c r="C83" s="454"/>
      <c r="D83" s="454"/>
      <c r="E83" s="455">
        <f t="shared" si="4"/>
        <v>0</v>
      </c>
      <c r="F83" s="454"/>
      <c r="G83" s="455">
        <f t="shared" si="5"/>
        <v>0</v>
      </c>
      <c r="H83" s="456"/>
      <c r="IV83" s="407"/>
    </row>
    <row r="84" spans="1:256" s="406" customFormat="1" ht="12.75" customHeight="1" x14ac:dyDescent="0.3">
      <c r="A84" s="457" t="s">
        <v>736</v>
      </c>
      <c r="B84" s="458">
        <f>B78+B81</f>
        <v>10835302.699999999</v>
      </c>
      <c r="C84" s="458">
        <f>C78+C81</f>
        <v>10835302.699999999</v>
      </c>
      <c r="D84" s="458">
        <f>D78+D81</f>
        <v>7850119.46</v>
      </c>
      <c r="E84" s="47">
        <f t="shared" si="4"/>
        <v>0.72449470747134737</v>
      </c>
      <c r="F84" s="458">
        <f>F78+F81</f>
        <v>5809938.4100000001</v>
      </c>
      <c r="G84" s="47">
        <f t="shared" si="5"/>
        <v>0.53620453169250182</v>
      </c>
      <c r="H84" s="459">
        <f>H78+H81</f>
        <v>0</v>
      </c>
      <c r="IV84" s="408">
        <f>IF($A$7=$IV$12,IF(D84&lt;&gt;(F84+H84),0,1),1)</f>
        <v>1</v>
      </c>
    </row>
    <row r="85" spans="1:256" s="460" customFormat="1" ht="12.75" customHeight="1" x14ac:dyDescent="0.25">
      <c r="A85" s="1068" t="s">
        <v>737</v>
      </c>
      <c r="B85" s="1068"/>
      <c r="C85" s="1068"/>
      <c r="D85" s="1068"/>
      <c r="E85" s="1068"/>
      <c r="F85" s="1068"/>
      <c r="G85" s="1069" t="s">
        <v>457</v>
      </c>
      <c r="H85" s="1069"/>
      <c r="IV85" s="461"/>
    </row>
    <row r="86" spans="1:256" s="406" customFormat="1" ht="12.75" customHeight="1" x14ac:dyDescent="0.3">
      <c r="A86" s="1070" t="s">
        <v>738</v>
      </c>
      <c r="B86" s="1070"/>
      <c r="C86" s="1070"/>
      <c r="D86" s="462"/>
      <c r="E86" s="462"/>
      <c r="F86" s="463"/>
      <c r="G86" s="1071">
        <f>SUM(G87:G88)</f>
        <v>17189</v>
      </c>
      <c r="H86" s="1071"/>
      <c r="IV86" s="407"/>
    </row>
    <row r="87" spans="1:256" s="406" customFormat="1" ht="12.75" customHeight="1" x14ac:dyDescent="0.3">
      <c r="A87" s="464" t="s">
        <v>739</v>
      </c>
      <c r="B87" s="464"/>
      <c r="C87" s="464"/>
      <c r="D87" s="464"/>
      <c r="E87" s="464"/>
      <c r="F87" s="465"/>
      <c r="G87" s="1072">
        <v>17189</v>
      </c>
      <c r="H87" s="1072"/>
      <c r="IV87" s="407"/>
    </row>
    <row r="88" spans="1:256" s="406" customFormat="1" ht="12.75" customHeight="1" x14ac:dyDescent="0.3">
      <c r="A88" s="464" t="s">
        <v>740</v>
      </c>
      <c r="B88" s="464"/>
      <c r="C88" s="464"/>
      <c r="D88" s="464"/>
      <c r="E88" s="464"/>
      <c r="F88" s="465"/>
      <c r="G88" s="1072"/>
      <c r="H88" s="1072"/>
      <c r="IV88" s="407"/>
    </row>
    <row r="89" spans="1:256" s="406" customFormat="1" ht="12.75" customHeight="1" x14ac:dyDescent="0.3">
      <c r="A89" s="1073" t="s">
        <v>741</v>
      </c>
      <c r="B89" s="1073"/>
      <c r="C89" s="1073"/>
      <c r="D89" s="1073"/>
      <c r="E89" s="464"/>
      <c r="F89" s="465"/>
      <c r="G89" s="1074">
        <f>SUM(G90:G91)</f>
        <v>0</v>
      </c>
      <c r="H89" s="1074"/>
      <c r="IV89" s="407"/>
    </row>
    <row r="90" spans="1:256" s="406" customFormat="1" ht="12.75" customHeight="1" x14ac:dyDescent="0.3">
      <c r="A90" s="464" t="s">
        <v>742</v>
      </c>
      <c r="B90" s="464"/>
      <c r="C90" s="464"/>
      <c r="D90" s="464"/>
      <c r="E90" s="464"/>
      <c r="F90" s="465"/>
      <c r="G90" s="1072"/>
      <c r="H90" s="1072"/>
      <c r="IV90" s="407"/>
    </row>
    <row r="91" spans="1:256" s="406" customFormat="1" ht="12.75" customHeight="1" x14ac:dyDescent="0.3">
      <c r="A91" s="466" t="s">
        <v>743</v>
      </c>
      <c r="B91" s="466"/>
      <c r="C91" s="466"/>
      <c r="D91" s="466"/>
      <c r="E91" s="466"/>
      <c r="F91" s="467"/>
      <c r="G91" s="1072"/>
      <c r="H91" s="1072"/>
      <c r="IV91" s="407"/>
    </row>
    <row r="92" spans="1:256" s="406" customFormat="1" ht="12.75" customHeight="1" x14ac:dyDescent="0.3">
      <c r="A92" s="468" t="s">
        <v>744</v>
      </c>
      <c r="B92" s="468"/>
      <c r="C92" s="468"/>
      <c r="D92" s="468"/>
      <c r="E92" s="468"/>
      <c r="F92" s="469"/>
      <c r="G92" s="1075">
        <f>G86+G89</f>
        <v>17189</v>
      </c>
      <c r="H92" s="1075"/>
      <c r="IV92" s="407"/>
    </row>
    <row r="93" spans="1:256" s="406" customFormat="1" ht="15.75" customHeight="1" x14ac:dyDescent="0.3">
      <c r="A93" s="1076" t="s">
        <v>745</v>
      </c>
      <c r="B93" s="1076"/>
      <c r="C93" s="1076"/>
      <c r="D93" s="1076"/>
      <c r="E93" s="1076"/>
      <c r="F93" s="1076"/>
      <c r="G93" s="1069" t="s">
        <v>457</v>
      </c>
      <c r="H93" s="1069"/>
      <c r="IV93" s="407"/>
    </row>
    <row r="94" spans="1:256" s="406" customFormat="1" ht="12.75" customHeight="1" x14ac:dyDescent="0.3">
      <c r="A94" s="470" t="s">
        <v>746</v>
      </c>
      <c r="B94" s="470"/>
      <c r="C94" s="470"/>
      <c r="D94" s="470"/>
      <c r="E94" s="470"/>
      <c r="F94" s="471"/>
      <c r="G94" s="1077">
        <f>F84-G92</f>
        <v>5792749.4100000001</v>
      </c>
      <c r="H94" s="1077"/>
      <c r="IV94" s="407"/>
    </row>
    <row r="95" spans="1:256" s="406" customFormat="1" ht="14.25" customHeight="1" x14ac:dyDescent="0.3">
      <c r="A95" s="472" t="s">
        <v>747</v>
      </c>
      <c r="B95" s="472"/>
      <c r="C95" s="472"/>
      <c r="D95" s="472"/>
      <c r="E95" s="472"/>
      <c r="F95" s="473"/>
      <c r="G95" s="1078">
        <f>IF(F$68="",0,IF(F$68=0,0,(F78-(G87+G90))/F$68))</f>
        <v>0.51867218232843293</v>
      </c>
      <c r="H95" s="1078"/>
      <c r="IV95" s="407"/>
    </row>
    <row r="96" spans="1:256" s="406" customFormat="1" ht="12.75" customHeight="1" x14ac:dyDescent="0.3">
      <c r="A96" s="472" t="s">
        <v>748</v>
      </c>
      <c r="B96" s="472"/>
      <c r="C96" s="472"/>
      <c r="D96" s="472"/>
      <c r="E96" s="472"/>
      <c r="F96" s="473"/>
      <c r="G96" s="1078">
        <f>IF(F$68="",0,IF(F$68=0,0,(F81-(G88+G91))/F$68))</f>
        <v>0.10071368313915349</v>
      </c>
      <c r="H96" s="1078"/>
      <c r="IV96" s="407"/>
    </row>
    <row r="97" spans="1:256" s="406" customFormat="1" ht="13.5" customHeight="1" x14ac:dyDescent="0.3">
      <c r="A97" s="1079" t="s">
        <v>749</v>
      </c>
      <c r="B97" s="1079"/>
      <c r="C97" s="1079"/>
      <c r="D97" s="1079"/>
      <c r="E97" s="1079"/>
      <c r="F97" s="1079"/>
      <c r="G97" s="1080">
        <f>IF(G95+G96=0,0,1-G95-G96)</f>
        <v>0.38061413453241355</v>
      </c>
      <c r="H97" s="1080"/>
      <c r="IV97" s="407"/>
    </row>
    <row r="98" spans="1:256" s="474" customFormat="1" ht="16.5" customHeight="1" x14ac:dyDescent="0.25">
      <c r="A98" s="1076" t="s">
        <v>750</v>
      </c>
      <c r="B98" s="1076"/>
      <c r="C98" s="1076"/>
      <c r="D98" s="1076"/>
      <c r="E98" s="1076"/>
      <c r="F98" s="1076"/>
      <c r="G98" s="1069" t="s">
        <v>457</v>
      </c>
      <c r="H98" s="1069"/>
      <c r="IV98" s="475"/>
    </row>
    <row r="99" spans="1:256" s="406" customFormat="1" ht="18.75" customHeight="1" x14ac:dyDescent="0.3">
      <c r="A99" s="1081" t="s">
        <v>751</v>
      </c>
      <c r="B99" s="1081"/>
      <c r="C99" s="1081"/>
      <c r="D99" s="1081"/>
      <c r="E99" s="1081"/>
      <c r="F99" s="1081"/>
      <c r="G99" s="1082"/>
      <c r="H99" s="1082"/>
      <c r="IV99" s="407"/>
    </row>
    <row r="100" spans="1:256" s="406" customFormat="1" ht="18.75" customHeight="1" x14ac:dyDescent="0.3">
      <c r="A100" s="1083" t="s">
        <v>752</v>
      </c>
      <c r="B100" s="1083"/>
      <c r="C100" s="1083"/>
      <c r="D100" s="1083"/>
      <c r="E100" s="1083"/>
      <c r="F100" s="1083"/>
      <c r="G100" s="1084"/>
      <c r="H100" s="1084"/>
      <c r="IV100" s="407"/>
    </row>
    <row r="101" spans="1:256" s="406" customFormat="1" ht="12.75" customHeight="1" x14ac:dyDescent="0.3">
      <c r="A101" s="1085" t="s">
        <v>753</v>
      </c>
      <c r="B101" s="1085"/>
      <c r="C101" s="1085"/>
      <c r="D101" s="1085"/>
      <c r="E101" s="1085"/>
      <c r="F101" s="1085"/>
      <c r="G101" s="1085"/>
      <c r="H101" s="1085"/>
      <c r="IV101" s="407"/>
    </row>
    <row r="102" spans="1:256" s="406" customFormat="1" ht="44.9" customHeight="1" x14ac:dyDescent="0.3">
      <c r="A102" s="1076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086" t="s">
        <v>124</v>
      </c>
      <c r="C102" s="1086" t="s">
        <v>125</v>
      </c>
      <c r="D102" s="1066" t="str">
        <f>IF(IV119=0,"ERRO!!!","DESPESAS EMPENHADAS")</f>
        <v>DESPESAS EMPENHADAS</v>
      </c>
      <c r="E102" s="1066"/>
      <c r="F102" s="1052" t="str">
        <f>IF(IV119=0,"ERRO!!!","DESPESAS LIQUIDADAS")</f>
        <v>DESPESAS LIQUIDADAS</v>
      </c>
      <c r="G102" s="1052"/>
      <c r="H102" s="1067" t="s">
        <v>727</v>
      </c>
      <c r="I102" s="439"/>
      <c r="J102" s="440"/>
      <c r="K102" s="441"/>
      <c r="L102" s="425"/>
      <c r="IV102" s="407"/>
    </row>
    <row r="103" spans="1:256" s="406" customFormat="1" ht="12.75" customHeight="1" x14ac:dyDescent="0.3">
      <c r="A103" s="1076"/>
      <c r="B103" s="1086"/>
      <c r="C103" s="1086"/>
      <c r="D103" s="414" t="s">
        <v>39</v>
      </c>
      <c r="E103" s="415" t="s">
        <v>38</v>
      </c>
      <c r="F103" s="414" t="s">
        <v>39</v>
      </c>
      <c r="G103" s="415" t="s">
        <v>38</v>
      </c>
      <c r="H103" s="1067"/>
      <c r="I103" s="441"/>
      <c r="J103" s="441"/>
      <c r="K103" s="425"/>
      <c r="L103" s="425"/>
      <c r="IV103" s="407"/>
    </row>
    <row r="104" spans="1:256" s="406" customFormat="1" ht="12.75" customHeight="1" x14ac:dyDescent="0.3">
      <c r="A104" s="1076"/>
      <c r="B104" s="1086"/>
      <c r="C104" s="418" t="s">
        <v>131</v>
      </c>
      <c r="D104" s="418" t="s">
        <v>132</v>
      </c>
      <c r="E104" s="429" t="s">
        <v>728</v>
      </c>
      <c r="F104" s="418" t="s">
        <v>650</v>
      </c>
      <c r="G104" s="419" t="s">
        <v>729</v>
      </c>
      <c r="H104" s="442" t="s">
        <v>651</v>
      </c>
      <c r="I104" s="441"/>
      <c r="J104" s="441"/>
      <c r="K104" s="441"/>
      <c r="L104" s="425"/>
      <c r="IV104" s="407"/>
    </row>
    <row r="105" spans="1:256" s="406" customFormat="1" ht="12.75" customHeight="1" x14ac:dyDescent="0.3">
      <c r="A105" s="435" t="s">
        <v>754</v>
      </c>
      <c r="B105" s="476">
        <f>B106+B109</f>
        <v>0</v>
      </c>
      <c r="C105" s="476">
        <f>C106+C109</f>
        <v>0</v>
      </c>
      <c r="D105" s="477">
        <f>D106+D109</f>
        <v>0</v>
      </c>
      <c r="E105" s="478">
        <f t="shared" ref="E105:E119" si="6">IF($C105="",0,IF($C105=0,0,D105/$C105))</f>
        <v>0</v>
      </c>
      <c r="F105" s="479">
        <f>F106+F109</f>
        <v>0</v>
      </c>
      <c r="G105" s="478">
        <f t="shared" ref="G105:G119" si="7">IF($C105="",0,IF($C105=0,0,F105/$C105))</f>
        <v>0</v>
      </c>
      <c r="H105" s="477">
        <f>H106+H109</f>
        <v>0</v>
      </c>
      <c r="I105" s="425"/>
      <c r="J105" s="425"/>
      <c r="K105" s="425"/>
      <c r="L105" s="425"/>
      <c r="IV105" s="407"/>
    </row>
    <row r="106" spans="1:256" s="406" customFormat="1" ht="12.75" customHeight="1" x14ac:dyDescent="0.3">
      <c r="A106" s="423" t="s">
        <v>755</v>
      </c>
      <c r="B106" s="451">
        <f>SUM(B107:B108)</f>
        <v>0</v>
      </c>
      <c r="C106" s="451">
        <f>SUM(C107:C108)</f>
        <v>0</v>
      </c>
      <c r="D106" s="452">
        <f>SUM(D107:D108)</f>
        <v>0</v>
      </c>
      <c r="E106" s="47">
        <f t="shared" si="6"/>
        <v>0</v>
      </c>
      <c r="F106" s="480">
        <f>SUM(F107:F108)</f>
        <v>0</v>
      </c>
      <c r="G106" s="47">
        <f t="shared" si="7"/>
        <v>0</v>
      </c>
      <c r="H106" s="452">
        <f>SUM(H107:H108)</f>
        <v>0</v>
      </c>
      <c r="I106" s="425"/>
      <c r="J106" s="425"/>
      <c r="K106" s="425"/>
      <c r="L106" s="425"/>
      <c r="IV106" s="407"/>
    </row>
    <row r="107" spans="1:256" s="406" customFormat="1" ht="12.75" customHeight="1" x14ac:dyDescent="0.3">
      <c r="A107" s="423" t="s">
        <v>756</v>
      </c>
      <c r="B107" s="481"/>
      <c r="C107" s="481"/>
      <c r="D107" s="450"/>
      <c r="E107" s="47">
        <f t="shared" si="6"/>
        <v>0</v>
      </c>
      <c r="F107" s="482"/>
      <c r="G107" s="47">
        <f t="shared" si="7"/>
        <v>0</v>
      </c>
      <c r="H107" s="450"/>
      <c r="IV107" s="407"/>
    </row>
    <row r="108" spans="1:256" s="406" customFormat="1" ht="12.75" customHeight="1" x14ac:dyDescent="0.3">
      <c r="A108" s="423" t="s">
        <v>757</v>
      </c>
      <c r="B108" s="481"/>
      <c r="C108" s="481"/>
      <c r="D108" s="450"/>
      <c r="E108" s="47">
        <f t="shared" si="6"/>
        <v>0</v>
      </c>
      <c r="F108" s="482"/>
      <c r="G108" s="47">
        <f t="shared" si="7"/>
        <v>0</v>
      </c>
      <c r="H108" s="450"/>
      <c r="IV108" s="407"/>
    </row>
    <row r="109" spans="1:256" s="406" customFormat="1" ht="12.75" customHeight="1" x14ac:dyDescent="0.3">
      <c r="A109" s="423" t="s">
        <v>758</v>
      </c>
      <c r="B109" s="451">
        <f>SUM(B110:B111)</f>
        <v>0</v>
      </c>
      <c r="C109" s="451">
        <f>SUM(C110:C111)</f>
        <v>0</v>
      </c>
      <c r="D109" s="452">
        <f>SUM(D110:D111)</f>
        <v>0</v>
      </c>
      <c r="E109" s="47">
        <f t="shared" si="6"/>
        <v>0</v>
      </c>
      <c r="F109" s="480">
        <f>SUM(F110:F111)</f>
        <v>0</v>
      </c>
      <c r="G109" s="47">
        <f t="shared" si="7"/>
        <v>0</v>
      </c>
      <c r="H109" s="452">
        <f>SUM(H110:H111)</f>
        <v>0</v>
      </c>
      <c r="IV109" s="407"/>
    </row>
    <row r="110" spans="1:256" s="406" customFormat="1" ht="12.75" customHeight="1" x14ac:dyDescent="0.3">
      <c r="A110" s="423" t="s">
        <v>759</v>
      </c>
      <c r="B110" s="481"/>
      <c r="C110" s="481"/>
      <c r="D110" s="450"/>
      <c r="E110" s="47">
        <f t="shared" si="6"/>
        <v>0</v>
      </c>
      <c r="F110" s="482"/>
      <c r="G110" s="47">
        <f t="shared" si="7"/>
        <v>0</v>
      </c>
      <c r="H110" s="450"/>
      <c r="IV110" s="407"/>
    </row>
    <row r="111" spans="1:256" s="406" customFormat="1" ht="12.75" customHeight="1" x14ac:dyDescent="0.3">
      <c r="A111" s="423" t="s">
        <v>760</v>
      </c>
      <c r="B111" s="481"/>
      <c r="C111" s="481"/>
      <c r="D111" s="450"/>
      <c r="E111" s="47">
        <f t="shared" si="6"/>
        <v>0</v>
      </c>
      <c r="F111" s="482"/>
      <c r="G111" s="47">
        <f t="shared" si="7"/>
        <v>0</v>
      </c>
      <c r="H111" s="450"/>
      <c r="IV111" s="407"/>
    </row>
    <row r="112" spans="1:256" s="406" customFormat="1" ht="12.75" customHeight="1" x14ac:dyDescent="0.3">
      <c r="A112" s="423" t="s">
        <v>761</v>
      </c>
      <c r="B112" s="451">
        <f>SUM(B113:B114)</f>
        <v>0</v>
      </c>
      <c r="C112" s="451">
        <f>SUM(C113:C114)</f>
        <v>0</v>
      </c>
      <c r="D112" s="452">
        <f>SUM(D113:D114)</f>
        <v>0</v>
      </c>
      <c r="E112" s="47">
        <f t="shared" si="6"/>
        <v>0</v>
      </c>
      <c r="F112" s="480">
        <f>SUM(F113:F114)</f>
        <v>0</v>
      </c>
      <c r="G112" s="47">
        <f t="shared" si="7"/>
        <v>0</v>
      </c>
      <c r="H112" s="452">
        <f>SUM(H113:H114)</f>
        <v>0</v>
      </c>
      <c r="IV112" s="407"/>
    </row>
    <row r="113" spans="1:256" s="406" customFormat="1" ht="12.75" customHeight="1" x14ac:dyDescent="0.3">
      <c r="A113" s="423" t="s">
        <v>762</v>
      </c>
      <c r="B113" s="481"/>
      <c r="C113" s="481"/>
      <c r="D113" s="450"/>
      <c r="E113" s="47">
        <f t="shared" si="6"/>
        <v>0</v>
      </c>
      <c r="F113" s="482"/>
      <c r="G113" s="47">
        <f t="shared" si="7"/>
        <v>0</v>
      </c>
      <c r="H113" s="450"/>
      <c r="IV113" s="407"/>
    </row>
    <row r="114" spans="1:256" s="406" customFormat="1" ht="12.75" customHeight="1" x14ac:dyDescent="0.3">
      <c r="A114" s="423" t="s">
        <v>763</v>
      </c>
      <c r="B114" s="481"/>
      <c r="C114" s="481"/>
      <c r="D114" s="450"/>
      <c r="E114" s="47">
        <f t="shared" si="6"/>
        <v>0</v>
      </c>
      <c r="F114" s="482"/>
      <c r="G114" s="47">
        <f t="shared" si="7"/>
        <v>0</v>
      </c>
      <c r="H114" s="450"/>
      <c r="IV114" s="407"/>
    </row>
    <row r="115" spans="1:256" s="406" customFormat="1" ht="12.75" customHeight="1" x14ac:dyDescent="0.3">
      <c r="A115" s="423" t="s">
        <v>764</v>
      </c>
      <c r="B115" s="481"/>
      <c r="C115" s="481"/>
      <c r="D115" s="450"/>
      <c r="E115" s="47">
        <f t="shared" si="6"/>
        <v>0</v>
      </c>
      <c r="F115" s="482"/>
      <c r="G115" s="47">
        <f t="shared" si="7"/>
        <v>0</v>
      </c>
      <c r="H115" s="450"/>
      <c r="IV115" s="407"/>
    </row>
    <row r="116" spans="1:256" s="406" customFormat="1" ht="12.75" customHeight="1" x14ac:dyDescent="0.3">
      <c r="A116" s="423" t="s">
        <v>765</v>
      </c>
      <c r="B116" s="481"/>
      <c r="C116" s="481"/>
      <c r="D116" s="450"/>
      <c r="E116" s="47">
        <f t="shared" si="6"/>
        <v>0</v>
      </c>
      <c r="F116" s="482">
        <v>0</v>
      </c>
      <c r="G116" s="47">
        <f t="shared" si="7"/>
        <v>0</v>
      </c>
      <c r="H116" s="450"/>
      <c r="IV116" s="407"/>
    </row>
    <row r="117" spans="1:256" s="406" customFormat="1" ht="12.75" customHeight="1" x14ac:dyDescent="0.3">
      <c r="A117" s="423" t="s">
        <v>766</v>
      </c>
      <c r="B117" s="481"/>
      <c r="C117" s="481"/>
      <c r="D117" s="450"/>
      <c r="E117" s="47">
        <f t="shared" si="6"/>
        <v>0</v>
      </c>
      <c r="F117" s="482"/>
      <c r="G117" s="47">
        <f t="shared" si="7"/>
        <v>0</v>
      </c>
      <c r="H117" s="450"/>
      <c r="IV117" s="407"/>
    </row>
    <row r="118" spans="1:256" s="406" customFormat="1" ht="12.75" customHeight="1" x14ac:dyDescent="0.3">
      <c r="A118" s="457" t="s">
        <v>767</v>
      </c>
      <c r="B118" s="481"/>
      <c r="C118" s="481"/>
      <c r="D118" s="450"/>
      <c r="E118" s="483">
        <f t="shared" si="6"/>
        <v>0</v>
      </c>
      <c r="F118" s="482"/>
      <c r="G118" s="483">
        <f t="shared" si="7"/>
        <v>0</v>
      </c>
      <c r="H118" s="450"/>
      <c r="IV118" s="407"/>
    </row>
    <row r="119" spans="1:256" s="406" customFormat="1" ht="12.75" customHeight="1" x14ac:dyDescent="0.3">
      <c r="A119" s="457" t="s">
        <v>768</v>
      </c>
      <c r="B119" s="484">
        <f>SUM(B105,B112,B115:B118)</f>
        <v>0</v>
      </c>
      <c r="C119" s="484">
        <f>SUM(C105,C112,C115:C118)</f>
        <v>0</v>
      </c>
      <c r="D119" s="484">
        <f>SUM(D105,D112,D115:D118)</f>
        <v>0</v>
      </c>
      <c r="E119" s="485">
        <f t="shared" si="6"/>
        <v>0</v>
      </c>
      <c r="F119" s="484">
        <f>SUM(F105,F112,F115:F118)</f>
        <v>0</v>
      </c>
      <c r="G119" s="485">
        <f t="shared" si="7"/>
        <v>0</v>
      </c>
      <c r="H119" s="486">
        <f>SUM(H105,H112,H115:H118)</f>
        <v>0</v>
      </c>
      <c r="IV119" s="408">
        <f>IF($A$7=$IV$12,IF(D119&lt;&gt;(F119+H119),0,1),1)</f>
        <v>1</v>
      </c>
    </row>
    <row r="120" spans="1:256" s="406" customFormat="1" ht="12.75" customHeight="1" x14ac:dyDescent="0.3">
      <c r="A120" s="1076" t="s">
        <v>769</v>
      </c>
      <c r="B120" s="1076"/>
      <c r="C120" s="1076"/>
      <c r="D120" s="1076"/>
      <c r="E120" s="1076"/>
      <c r="F120" s="1076"/>
      <c r="G120" s="1069" t="s">
        <v>457</v>
      </c>
      <c r="H120" s="1069"/>
      <c r="IV120" s="407"/>
    </row>
    <row r="121" spans="1:256" s="406" customFormat="1" ht="12.75" customHeight="1" x14ac:dyDescent="0.3">
      <c r="A121" s="1076"/>
      <c r="B121" s="1076"/>
      <c r="C121" s="1076"/>
      <c r="D121" s="1076"/>
      <c r="E121" s="1076"/>
      <c r="F121" s="1076"/>
      <c r="G121" s="1069"/>
      <c r="H121" s="1069"/>
      <c r="IV121" s="407"/>
    </row>
    <row r="122" spans="1:256" s="406" customFormat="1" ht="12.75" customHeight="1" x14ac:dyDescent="0.3">
      <c r="A122" s="1076"/>
      <c r="B122" s="1076"/>
      <c r="C122" s="1076"/>
      <c r="D122" s="1076"/>
      <c r="E122" s="1076"/>
      <c r="F122" s="1076"/>
      <c r="G122" s="1069"/>
      <c r="H122" s="1069"/>
      <c r="IV122" s="407"/>
    </row>
    <row r="123" spans="1:256" s="460" customFormat="1" ht="12.75" customHeight="1" x14ac:dyDescent="0.25">
      <c r="A123" s="487" t="s">
        <v>770</v>
      </c>
      <c r="B123" s="487"/>
      <c r="C123" s="487"/>
      <c r="D123" s="487"/>
      <c r="E123" s="487"/>
      <c r="F123" s="488"/>
      <c r="G123" s="1087">
        <f>F72</f>
        <v>6711388.5300000012</v>
      </c>
      <c r="H123" s="1087"/>
      <c r="IV123" s="461"/>
    </row>
    <row r="124" spans="1:256" s="460" customFormat="1" ht="12.75" customHeight="1" x14ac:dyDescent="0.25">
      <c r="A124" s="489" t="s">
        <v>771</v>
      </c>
      <c r="B124" s="489"/>
      <c r="C124" s="489"/>
      <c r="D124" s="489"/>
      <c r="E124" s="489"/>
      <c r="F124" s="488"/>
      <c r="G124" s="895"/>
      <c r="H124" s="895"/>
      <c r="IV124" s="461"/>
    </row>
    <row r="125" spans="1:256" s="460" customFormat="1" ht="12.75" hidden="1" customHeight="1" x14ac:dyDescent="0.25">
      <c r="A125" s="1088"/>
      <c r="B125" s="1088"/>
      <c r="C125" s="1088"/>
      <c r="D125" s="489"/>
      <c r="E125" s="489"/>
      <c r="F125" s="490"/>
      <c r="G125" s="1089"/>
      <c r="H125" s="1089"/>
      <c r="IV125" s="461"/>
    </row>
    <row r="126" spans="1:256" s="460" customFormat="1" ht="12.75" customHeight="1" x14ac:dyDescent="0.25">
      <c r="A126" s="1090" t="s">
        <v>772</v>
      </c>
      <c r="B126" s="1090"/>
      <c r="C126" s="1090"/>
      <c r="D126" s="489"/>
      <c r="E126" s="489"/>
      <c r="F126" s="490"/>
      <c r="G126" s="895"/>
      <c r="H126" s="895"/>
      <c r="IV126" s="461"/>
    </row>
    <row r="127" spans="1:256" s="460" customFormat="1" ht="26.9" customHeight="1" x14ac:dyDescent="0.25">
      <c r="A127" s="1090" t="s">
        <v>773</v>
      </c>
      <c r="B127" s="1090"/>
      <c r="C127" s="1090"/>
      <c r="D127" s="489"/>
      <c r="E127" s="489"/>
      <c r="F127" s="490"/>
      <c r="G127" s="895"/>
      <c r="H127" s="895"/>
      <c r="IV127" s="461"/>
    </row>
    <row r="128" spans="1:256" s="460" customFormat="1" ht="26.9" customHeight="1" x14ac:dyDescent="0.25">
      <c r="A128" s="1090" t="s">
        <v>774</v>
      </c>
      <c r="B128" s="1090"/>
      <c r="C128" s="1090"/>
      <c r="D128" s="1090"/>
      <c r="E128" s="489"/>
      <c r="F128" s="490"/>
      <c r="G128" s="895"/>
      <c r="H128" s="895"/>
      <c r="IV128" s="461"/>
    </row>
    <row r="129" spans="1:256" s="460" customFormat="1" ht="26.25" customHeight="1" x14ac:dyDescent="0.25">
      <c r="A129" s="1091" t="s">
        <v>775</v>
      </c>
      <c r="B129" s="1091"/>
      <c r="C129" s="1091"/>
      <c r="D129" s="1091"/>
      <c r="E129" s="1091"/>
      <c r="F129" s="1091"/>
      <c r="G129" s="895">
        <v>0</v>
      </c>
      <c r="H129" s="895"/>
      <c r="IV129" s="461"/>
    </row>
    <row r="130" spans="1:256" s="406" customFormat="1" ht="15.75" customHeight="1" x14ac:dyDescent="0.3">
      <c r="A130" s="1092" t="s">
        <v>776</v>
      </c>
      <c r="B130" s="1092"/>
      <c r="C130" s="1092"/>
      <c r="D130" s="1092"/>
      <c r="E130" s="1092"/>
      <c r="F130" s="1092"/>
      <c r="G130" s="1093">
        <f>SUM(G123:G129)</f>
        <v>6711388.5300000012</v>
      </c>
      <c r="H130" s="1093"/>
      <c r="I130" s="425"/>
      <c r="J130" s="425"/>
      <c r="K130" s="425"/>
      <c r="L130" s="425"/>
      <c r="IV130" s="407"/>
    </row>
    <row r="131" spans="1:256" s="406" customFormat="1" ht="19.399999999999999" customHeight="1" x14ac:dyDescent="0.4">
      <c r="A131" s="468" t="s">
        <v>777</v>
      </c>
      <c r="B131" s="468"/>
      <c r="C131" s="468"/>
      <c r="D131" s="468"/>
      <c r="E131" s="468"/>
      <c r="F131" s="469"/>
      <c r="G131" s="1094">
        <f>IF($A$7=$IV$12,(F105+F112+H105+H112-G130),(F105+F112-G130))</f>
        <v>-6711388.5300000012</v>
      </c>
      <c r="H131" s="1094"/>
      <c r="I131" s="425"/>
      <c r="J131" s="425"/>
      <c r="K131" s="425"/>
      <c r="L131" s="425"/>
      <c r="IV131" s="407"/>
    </row>
    <row r="132" spans="1:256" s="492" customFormat="1" ht="16.899999999999999" customHeight="1" x14ac:dyDescent="0.25">
      <c r="A132" s="1095" t="s">
        <v>778</v>
      </c>
      <c r="B132" s="1095"/>
      <c r="C132" s="1095"/>
      <c r="D132" s="1095"/>
      <c r="E132" s="1095"/>
      <c r="F132" s="1095"/>
      <c r="G132" s="1096">
        <f>IF(IV14=1,"Erro planilha INFORMAÇÕES INICIAIS!",IF(IV119=0,"VERIFIQUE ERRO ACIMA!",IF(F39="",0,IF(F39=0,0,(G131/F39)))))</f>
        <v>-0.49053112155366474</v>
      </c>
      <c r="H132" s="1096"/>
      <c r="I132" s="488"/>
      <c r="J132" s="488"/>
      <c r="K132" s="488"/>
      <c r="L132" s="491"/>
      <c r="IV132" s="493"/>
    </row>
    <row r="133" spans="1:256" s="406" customFormat="1" ht="12.75" customHeight="1" x14ac:dyDescent="0.3">
      <c r="A133" s="1097" t="s">
        <v>779</v>
      </c>
      <c r="B133" s="1097"/>
      <c r="C133" s="1097"/>
      <c r="D133" s="1097"/>
      <c r="E133" s="1097"/>
      <c r="F133" s="1097"/>
      <c r="G133" s="1097"/>
      <c r="H133" s="1097"/>
      <c r="I133" s="438"/>
      <c r="J133" s="438"/>
      <c r="K133" s="438"/>
      <c r="L133" s="425"/>
      <c r="IV133" s="407"/>
    </row>
    <row r="134" spans="1:256" s="406" customFormat="1" ht="44.9" customHeight="1" x14ac:dyDescent="0.3">
      <c r="A134" s="1076" t="s">
        <v>780</v>
      </c>
      <c r="B134" s="1086" t="s">
        <v>124</v>
      </c>
      <c r="C134" s="1086" t="s">
        <v>125</v>
      </c>
      <c r="D134" s="1066" t="s">
        <v>126</v>
      </c>
      <c r="E134" s="1066"/>
      <c r="F134" s="1052" t="s">
        <v>127</v>
      </c>
      <c r="G134" s="1052"/>
      <c r="H134" s="1067" t="s">
        <v>727</v>
      </c>
      <c r="I134" s="439"/>
      <c r="J134" s="440"/>
      <c r="K134" s="441"/>
      <c r="L134" s="425"/>
      <c r="IV134" s="407"/>
    </row>
    <row r="135" spans="1:256" s="406" customFormat="1" ht="12.75" customHeight="1" x14ac:dyDescent="0.3">
      <c r="A135" s="1076"/>
      <c r="B135" s="1086"/>
      <c r="C135" s="1086"/>
      <c r="D135" s="414" t="s">
        <v>39</v>
      </c>
      <c r="E135" s="415" t="s">
        <v>38</v>
      </c>
      <c r="F135" s="414" t="s">
        <v>39</v>
      </c>
      <c r="G135" s="415" t="s">
        <v>38</v>
      </c>
      <c r="H135" s="1067"/>
      <c r="I135" s="441"/>
      <c r="J135" s="441"/>
      <c r="K135" s="425"/>
      <c r="L135" s="425"/>
      <c r="IV135" s="407"/>
    </row>
    <row r="136" spans="1:256" s="406" customFormat="1" ht="12.75" customHeight="1" x14ac:dyDescent="0.3">
      <c r="A136" s="1076"/>
      <c r="B136" s="1086"/>
      <c r="C136" s="418" t="s">
        <v>131</v>
      </c>
      <c r="D136" s="418" t="s">
        <v>132</v>
      </c>
      <c r="E136" s="419" t="s">
        <v>728</v>
      </c>
      <c r="F136" s="418" t="s">
        <v>650</v>
      </c>
      <c r="G136" s="419" t="s">
        <v>729</v>
      </c>
      <c r="H136" s="442" t="s">
        <v>651</v>
      </c>
      <c r="I136" s="441"/>
      <c r="J136" s="441"/>
      <c r="K136" s="441"/>
      <c r="L136" s="425"/>
      <c r="IV136" s="407"/>
    </row>
    <row r="137" spans="1:256" s="406" customFormat="1" ht="25.5" customHeight="1" x14ac:dyDescent="0.3">
      <c r="A137" s="430" t="s">
        <v>781</v>
      </c>
      <c r="B137" s="494"/>
      <c r="C137" s="53"/>
      <c r="D137" s="494"/>
      <c r="E137" s="54">
        <f t="shared" ref="E137:E142" si="8">IF($C137="",0,IF($C137=0,0,D137/$C137))</f>
        <v>0</v>
      </c>
      <c r="F137" s="495"/>
      <c r="G137" s="54">
        <f t="shared" ref="G137:G142" si="9">IF($C137="",0,IF($C137=0,0,F137/$C137))</f>
        <v>0</v>
      </c>
      <c r="H137" s="496"/>
      <c r="I137" s="425"/>
      <c r="J137" s="425"/>
      <c r="K137" s="425"/>
      <c r="L137" s="425"/>
      <c r="IV137" s="407"/>
    </row>
    <row r="138" spans="1:256" s="406" customFormat="1" ht="14.25" customHeight="1" x14ac:dyDescent="0.3">
      <c r="A138" s="430" t="s">
        <v>782</v>
      </c>
      <c r="B138" s="160"/>
      <c r="C138" s="93"/>
      <c r="D138" s="93"/>
      <c r="E138" s="47">
        <f t="shared" si="8"/>
        <v>0</v>
      </c>
      <c r="F138" s="481"/>
      <c r="G138" s="47">
        <f t="shared" si="9"/>
        <v>0</v>
      </c>
      <c r="H138" s="94"/>
      <c r="IV138" s="407"/>
    </row>
    <row r="139" spans="1:256" s="406" customFormat="1" ht="12.75" customHeight="1" x14ac:dyDescent="0.3">
      <c r="A139" s="497" t="s">
        <v>783</v>
      </c>
      <c r="B139" s="94"/>
      <c r="C139" s="94"/>
      <c r="D139" s="94"/>
      <c r="E139" s="47">
        <f t="shared" si="8"/>
        <v>0</v>
      </c>
      <c r="F139" s="481"/>
      <c r="G139" s="47">
        <f t="shared" si="9"/>
        <v>0</v>
      </c>
      <c r="H139" s="94"/>
      <c r="IV139" s="407"/>
    </row>
    <row r="140" spans="1:256" s="406" customFormat="1" ht="12.75" customHeight="1" x14ac:dyDescent="0.3">
      <c r="A140" s="498" t="s">
        <v>784</v>
      </c>
      <c r="B140" s="160"/>
      <c r="C140" s="93"/>
      <c r="D140" s="93"/>
      <c r="E140" s="47">
        <f t="shared" si="8"/>
        <v>0</v>
      </c>
      <c r="F140" s="481"/>
      <c r="G140" s="47">
        <f t="shared" si="9"/>
        <v>0</v>
      </c>
      <c r="H140" s="251"/>
      <c r="IV140" s="407"/>
    </row>
    <row r="141" spans="1:256" s="406" customFormat="1" ht="25.9" customHeight="1" x14ac:dyDescent="0.3">
      <c r="A141" s="498" t="s">
        <v>785</v>
      </c>
      <c r="B141" s="499">
        <f>SUM(B137:B140)</f>
        <v>0</v>
      </c>
      <c r="C141" s="499">
        <f>SUM(C137:C140)</f>
        <v>0</v>
      </c>
      <c r="D141" s="499">
        <f>SUM(D137:D140)</f>
        <v>0</v>
      </c>
      <c r="E141" s="500">
        <f t="shared" si="8"/>
        <v>0</v>
      </c>
      <c r="F141" s="499">
        <f>SUM(F137:F140)</f>
        <v>0</v>
      </c>
      <c r="G141" s="500">
        <f t="shared" si="9"/>
        <v>0</v>
      </c>
      <c r="H141" s="501">
        <f>SUM(H137:H140)</f>
        <v>0</v>
      </c>
      <c r="IV141" s="407"/>
    </row>
    <row r="142" spans="1:256" s="406" customFormat="1" ht="12.75" customHeight="1" x14ac:dyDescent="0.3">
      <c r="A142" s="498" t="s">
        <v>786</v>
      </c>
      <c r="B142" s="502">
        <f>B119+B141</f>
        <v>0</v>
      </c>
      <c r="C142" s="502">
        <f>C119+C141</f>
        <v>0</v>
      </c>
      <c r="D142" s="502">
        <f>D119+D141</f>
        <v>0</v>
      </c>
      <c r="E142" s="47">
        <f t="shared" si="8"/>
        <v>0</v>
      </c>
      <c r="F142" s="502">
        <f>F119+F141</f>
        <v>0</v>
      </c>
      <c r="G142" s="47">
        <f t="shared" si="9"/>
        <v>0</v>
      </c>
      <c r="H142" s="503">
        <f>H119+H141</f>
        <v>0</v>
      </c>
      <c r="IV142" s="407"/>
    </row>
    <row r="143" spans="1:256" s="406" customFormat="1" ht="12.75" customHeight="1" x14ac:dyDescent="0.3">
      <c r="A143" s="1076" t="s">
        <v>787</v>
      </c>
      <c r="B143" s="1076"/>
      <c r="C143" s="1052" t="s">
        <v>788</v>
      </c>
      <c r="D143" s="1052"/>
      <c r="E143" s="1052"/>
      <c r="F143" s="1098" t="s">
        <v>789</v>
      </c>
      <c r="G143" s="1098"/>
      <c r="H143" s="1098"/>
      <c r="IV143" s="407"/>
    </row>
    <row r="144" spans="1:256" s="406" customFormat="1" ht="12.75" customHeight="1" x14ac:dyDescent="0.3">
      <c r="A144" s="1076"/>
      <c r="B144" s="1076"/>
      <c r="C144" s="1052"/>
      <c r="D144" s="1052"/>
      <c r="E144" s="1052"/>
      <c r="F144" s="1098"/>
      <c r="G144" s="1098"/>
      <c r="H144" s="1098"/>
      <c r="IV144" s="407"/>
    </row>
    <row r="145" spans="1:256" s="406" customFormat="1" ht="12.75" customHeight="1" x14ac:dyDescent="0.3">
      <c r="A145" s="1076"/>
      <c r="B145" s="1076"/>
      <c r="C145" s="1052"/>
      <c r="D145" s="1052"/>
      <c r="E145" s="1052"/>
      <c r="F145" s="1098"/>
      <c r="G145" s="1098"/>
      <c r="H145" s="1098"/>
      <c r="IV145" s="407"/>
    </row>
    <row r="146" spans="1:256" s="406" customFormat="1" ht="12.75" customHeight="1" x14ac:dyDescent="0.3">
      <c r="A146" s="1099" t="s">
        <v>790</v>
      </c>
      <c r="B146" s="1099"/>
      <c r="C146" s="966">
        <f>SUM(C147:E148)</f>
        <v>0</v>
      </c>
      <c r="D146" s="966"/>
      <c r="E146" s="966"/>
      <c r="F146" s="1077">
        <f>SUM(F147:H148)</f>
        <v>0</v>
      </c>
      <c r="G146" s="1077"/>
      <c r="H146" s="1077"/>
      <c r="IV146" s="407"/>
    </row>
    <row r="147" spans="1:256" s="406" customFormat="1" ht="12.75" customHeight="1" x14ac:dyDescent="0.3">
      <c r="A147" s="1100" t="s">
        <v>791</v>
      </c>
      <c r="B147" s="1100"/>
      <c r="C147" s="892"/>
      <c r="D147" s="892"/>
      <c r="E147" s="892"/>
      <c r="F147" s="1101"/>
      <c r="G147" s="1101"/>
      <c r="H147" s="1101"/>
      <c r="IV147" s="407"/>
    </row>
    <row r="148" spans="1:256" s="406" customFormat="1" ht="12.75" customHeight="1" x14ac:dyDescent="0.3">
      <c r="A148" s="1102" t="s">
        <v>792</v>
      </c>
      <c r="B148" s="1102"/>
      <c r="C148" s="917"/>
      <c r="D148" s="917"/>
      <c r="E148" s="917"/>
      <c r="F148" s="1084"/>
      <c r="G148" s="1084"/>
      <c r="H148" s="1084"/>
      <c r="IV148" s="407"/>
    </row>
    <row r="149" spans="1:256" s="406" customFormat="1" ht="12.75" customHeight="1" x14ac:dyDescent="0.3">
      <c r="A149" s="1103" t="s">
        <v>793</v>
      </c>
      <c r="B149" s="1103"/>
      <c r="C149" s="1052" t="s">
        <v>709</v>
      </c>
      <c r="D149" s="1052"/>
      <c r="E149" s="1052"/>
      <c r="F149" s="1066" t="s">
        <v>794</v>
      </c>
      <c r="G149" s="1066"/>
      <c r="H149" s="1066"/>
      <c r="IV149" s="407"/>
    </row>
    <row r="150" spans="1:256" s="406" customFormat="1" ht="25.5" customHeight="1" x14ac:dyDescent="0.3">
      <c r="A150" s="1103"/>
      <c r="B150" s="1103"/>
      <c r="C150" s="1052"/>
      <c r="D150" s="1052"/>
      <c r="E150" s="1052"/>
      <c r="F150" s="1066"/>
      <c r="G150" s="1066"/>
      <c r="H150" s="1066"/>
      <c r="IV150" s="407"/>
    </row>
    <row r="151" spans="1:256" s="406" customFormat="1" ht="15" customHeight="1" x14ac:dyDescent="0.3">
      <c r="A151" s="1104" t="s">
        <v>795</v>
      </c>
      <c r="B151" s="1104"/>
      <c r="C151" s="1105"/>
      <c r="D151" s="1105"/>
      <c r="E151" s="1105"/>
      <c r="F151" s="1106"/>
      <c r="G151" s="1106"/>
      <c r="H151" s="1106"/>
      <c r="IV151" s="407"/>
    </row>
    <row r="152" spans="1:256" s="406" customFormat="1" ht="12.75" customHeight="1" x14ac:dyDescent="0.3">
      <c r="A152" s="1107" t="s">
        <v>796</v>
      </c>
      <c r="B152" s="1107"/>
      <c r="C152" s="1108"/>
      <c r="D152" s="1108"/>
      <c r="E152" s="1108"/>
      <c r="F152" s="1109"/>
      <c r="G152" s="1109"/>
      <c r="H152" s="1109"/>
      <c r="IV152" s="407"/>
    </row>
    <row r="153" spans="1:256" s="406" customFormat="1" ht="12.75" customHeight="1" x14ac:dyDescent="0.3">
      <c r="A153" s="1107" t="s">
        <v>797</v>
      </c>
      <c r="B153" s="1107"/>
      <c r="C153" s="1110">
        <f>+C154+C155</f>
        <v>0</v>
      </c>
      <c r="D153" s="1110"/>
      <c r="E153" s="1110"/>
      <c r="F153" s="1111">
        <f>+F154+F155</f>
        <v>0</v>
      </c>
      <c r="G153" s="1111"/>
      <c r="H153" s="1111"/>
      <c r="IV153" s="407"/>
    </row>
    <row r="154" spans="1:256" s="406" customFormat="1" ht="12.75" customHeight="1" x14ac:dyDescent="0.3">
      <c r="A154" s="1107" t="s">
        <v>798</v>
      </c>
      <c r="B154" s="1107"/>
      <c r="C154" s="1112"/>
      <c r="D154" s="1112"/>
      <c r="E154" s="1112"/>
      <c r="F154" s="1113"/>
      <c r="G154" s="1113"/>
      <c r="H154" s="1113"/>
      <c r="IV154" s="407"/>
    </row>
    <row r="155" spans="1:256" s="406" customFormat="1" ht="12.75" customHeight="1" x14ac:dyDescent="0.3">
      <c r="A155" s="1107" t="s">
        <v>799</v>
      </c>
      <c r="B155" s="1107"/>
      <c r="C155" s="1108"/>
      <c r="D155" s="1108"/>
      <c r="E155" s="1108"/>
      <c r="F155" s="1109"/>
      <c r="G155" s="1109"/>
      <c r="H155" s="1109"/>
      <c r="IV155" s="407"/>
    </row>
    <row r="156" spans="1:256" s="406" customFormat="1" ht="12.75" customHeight="1" x14ac:dyDescent="0.3">
      <c r="A156" s="1114" t="s">
        <v>800</v>
      </c>
      <c r="B156" s="1114"/>
      <c r="C156" s="1115"/>
      <c r="D156" s="1115"/>
      <c r="E156" s="1115"/>
      <c r="F156" s="1109"/>
      <c r="G156" s="1109"/>
      <c r="H156" s="1109"/>
      <c r="IV156" s="407"/>
    </row>
    <row r="157" spans="1:256" s="406" customFormat="1" ht="12.75" customHeight="1" x14ac:dyDescent="0.3">
      <c r="A157" s="1114" t="s">
        <v>801</v>
      </c>
      <c r="B157" s="1114"/>
      <c r="C157" s="1110">
        <f>+C151+C152-ABS(C153)+C156</f>
        <v>0</v>
      </c>
      <c r="D157" s="1110"/>
      <c r="E157" s="1110"/>
      <c r="F157" s="1111">
        <f>+F151+F152-ABS(F153)+F156</f>
        <v>0</v>
      </c>
      <c r="G157" s="1111"/>
      <c r="H157" s="1111"/>
      <c r="IV157" s="407"/>
    </row>
    <row r="158" spans="1:256" s="406" customFormat="1" ht="12.75" customHeight="1" x14ac:dyDescent="0.3">
      <c r="A158" s="1114" t="s">
        <v>802</v>
      </c>
      <c r="B158" s="1114"/>
      <c r="C158" s="1110">
        <f>+C159+C160</f>
        <v>0</v>
      </c>
      <c r="D158" s="1110"/>
      <c r="E158" s="1110"/>
      <c r="F158" s="1111">
        <f>+F159+F160</f>
        <v>0</v>
      </c>
      <c r="G158" s="1111"/>
      <c r="H158" s="1111"/>
      <c r="IV158" s="407"/>
    </row>
    <row r="159" spans="1:256" s="406" customFormat="1" ht="12.75" customHeight="1" x14ac:dyDescent="0.3">
      <c r="A159" s="1114" t="s">
        <v>803</v>
      </c>
      <c r="B159" s="1114"/>
      <c r="C159" s="1115"/>
      <c r="D159" s="1115"/>
      <c r="E159" s="1115"/>
      <c r="F159" s="1109"/>
      <c r="G159" s="1109"/>
      <c r="H159" s="1109"/>
      <c r="IV159" s="407"/>
    </row>
    <row r="160" spans="1:256" s="406" customFormat="1" ht="12.75" customHeight="1" x14ac:dyDescent="0.3">
      <c r="A160" s="1114" t="s">
        <v>804</v>
      </c>
      <c r="B160" s="1114"/>
      <c r="C160" s="1115"/>
      <c r="D160" s="1115"/>
      <c r="E160" s="1115"/>
      <c r="F160" s="1109"/>
      <c r="G160" s="1109"/>
      <c r="H160" s="1109"/>
      <c r="IV160" s="407"/>
    </row>
    <row r="161" spans="1:256" s="406" customFormat="1" ht="12.75" customHeight="1" x14ac:dyDescent="0.3">
      <c r="A161" s="1116" t="s">
        <v>805</v>
      </c>
      <c r="B161" s="1116"/>
      <c r="C161" s="1117">
        <f>+C157+C158</f>
        <v>0</v>
      </c>
      <c r="D161" s="1117"/>
      <c r="E161" s="1117"/>
      <c r="F161" s="1118">
        <f>+F157+F158</f>
        <v>0</v>
      </c>
      <c r="G161" s="1118"/>
      <c r="H161" s="1118"/>
      <c r="IV161" s="407"/>
    </row>
    <row r="162" spans="1:256" s="406" customFormat="1" ht="12.75" customHeight="1" x14ac:dyDescent="0.3">
      <c r="A162" s="1120" t="s">
        <v>659</v>
      </c>
      <c r="B162" s="1120"/>
      <c r="C162" s="1120"/>
      <c r="D162" s="1120"/>
      <c r="E162" s="1120"/>
      <c r="F162" s="1120"/>
      <c r="G162" s="1120"/>
      <c r="H162" s="1120"/>
      <c r="IV162" s="407"/>
    </row>
    <row r="163" spans="1:256" s="406" customFormat="1" ht="12.75" customHeight="1" x14ac:dyDescent="0.3">
      <c r="A163" s="1121" t="s">
        <v>806</v>
      </c>
      <c r="B163" s="1121"/>
      <c r="C163" s="1121"/>
      <c r="D163" s="1121"/>
      <c r="E163" s="1121"/>
      <c r="F163" s="1121"/>
      <c r="G163" s="1121"/>
      <c r="H163" s="1121"/>
      <c r="IV163" s="407"/>
    </row>
    <row r="164" spans="1:256" s="406" customFormat="1" ht="25" customHeight="1" x14ac:dyDescent="0.3">
      <c r="A164" s="1122" t="s">
        <v>807</v>
      </c>
      <c r="B164" s="1122"/>
      <c r="C164" s="1122"/>
      <c r="D164" s="1122"/>
      <c r="E164" s="1122"/>
      <c r="F164" s="1122"/>
      <c r="G164" s="1122"/>
      <c r="H164" s="1122"/>
      <c r="IV164" s="407"/>
    </row>
    <row r="165" spans="1:256" s="406" customFormat="1" ht="12.75" customHeight="1" x14ac:dyDescent="0.3">
      <c r="A165" s="1121" t="s">
        <v>808</v>
      </c>
      <c r="B165" s="1121"/>
      <c r="C165" s="1121"/>
      <c r="D165" s="1121"/>
      <c r="E165" s="1121"/>
      <c r="F165" s="1121"/>
      <c r="G165" s="1121"/>
      <c r="H165" s="1121"/>
      <c r="IV165" s="407"/>
    </row>
    <row r="166" spans="1:256" s="406" customFormat="1" ht="12.75" customHeight="1" x14ac:dyDescent="0.3">
      <c r="A166" s="1122" t="s">
        <v>809</v>
      </c>
      <c r="B166" s="1122"/>
      <c r="C166" s="1122"/>
      <c r="D166" s="1122"/>
      <c r="E166" s="1122"/>
      <c r="F166" s="1122"/>
      <c r="G166" s="1122"/>
      <c r="H166" s="1122"/>
      <c r="IV166" s="407"/>
    </row>
    <row r="167" spans="1:256" s="406" customFormat="1" ht="12.75" customHeight="1" x14ac:dyDescent="0.3">
      <c r="A167" s="1121" t="s">
        <v>810</v>
      </c>
      <c r="B167" s="1121"/>
      <c r="C167" s="1121"/>
      <c r="D167" s="1121"/>
      <c r="E167" s="1121"/>
      <c r="F167" s="1121"/>
      <c r="G167" s="1121"/>
      <c r="H167" s="1121"/>
      <c r="IV167" s="407"/>
    </row>
    <row r="168" spans="1:256" ht="15.65" customHeight="1" x14ac:dyDescent="0.25">
      <c r="A168" s="1119" t="s">
        <v>811</v>
      </c>
      <c r="B168" s="1119"/>
      <c r="C168" s="1119"/>
      <c r="D168" s="1119"/>
      <c r="E168" s="1119"/>
      <c r="F168" s="1119"/>
      <c r="G168" s="1119"/>
      <c r="H168" s="1119"/>
    </row>
    <row r="169" spans="1:256" ht="16.5" customHeight="1" x14ac:dyDescent="0.25">
      <c r="A169" s="1119" t="s">
        <v>812</v>
      </c>
      <c r="B169" s="1119"/>
      <c r="C169" s="1119"/>
      <c r="D169" s="1119"/>
      <c r="E169" s="1119"/>
      <c r="F169" s="1119"/>
      <c r="G169" s="1119"/>
      <c r="H169" s="1119"/>
    </row>
  </sheetData>
  <sheetProtection password="F3F6" sheet="1"/>
  <mergeCells count="310">
    <mergeCell ref="A168:H168"/>
    <mergeCell ref="A169:H169"/>
    <mergeCell ref="A162:H162"/>
    <mergeCell ref="A163:H163"/>
    <mergeCell ref="A164:H164"/>
    <mergeCell ref="A165:H165"/>
    <mergeCell ref="A166:H166"/>
    <mergeCell ref="A167:H167"/>
    <mergeCell ref="A160:B160"/>
    <mergeCell ref="C160:E160"/>
    <mergeCell ref="F160:H160"/>
    <mergeCell ref="A161:B161"/>
    <mergeCell ref="C161:E161"/>
    <mergeCell ref="F161:H161"/>
    <mergeCell ref="A158:B158"/>
    <mergeCell ref="C158:E158"/>
    <mergeCell ref="F158:H158"/>
    <mergeCell ref="A159:B159"/>
    <mergeCell ref="C159:E159"/>
    <mergeCell ref="F159:H159"/>
    <mergeCell ref="A156:B156"/>
    <mergeCell ref="C156:E156"/>
    <mergeCell ref="F156:H156"/>
    <mergeCell ref="A157:B157"/>
    <mergeCell ref="C157:E157"/>
    <mergeCell ref="F157:H157"/>
    <mergeCell ref="A154:B154"/>
    <mergeCell ref="C154:E154"/>
    <mergeCell ref="F154:H154"/>
    <mergeCell ref="A155:B155"/>
    <mergeCell ref="C155:E155"/>
    <mergeCell ref="F155:H155"/>
    <mergeCell ref="A152:B152"/>
    <mergeCell ref="C152:E152"/>
    <mergeCell ref="F152:H152"/>
    <mergeCell ref="A153:B153"/>
    <mergeCell ref="C153:E153"/>
    <mergeCell ref="F153:H153"/>
    <mergeCell ref="A149:B150"/>
    <mergeCell ref="C149:E150"/>
    <mergeCell ref="F149:H150"/>
    <mergeCell ref="A151:B151"/>
    <mergeCell ref="C151:E151"/>
    <mergeCell ref="F151:H151"/>
    <mergeCell ref="A147:B147"/>
    <mergeCell ref="C147:E147"/>
    <mergeCell ref="F147:H147"/>
    <mergeCell ref="A148:B148"/>
    <mergeCell ref="C148:E148"/>
    <mergeCell ref="F148:H148"/>
    <mergeCell ref="A143:B145"/>
    <mergeCell ref="C143:E145"/>
    <mergeCell ref="F143:H145"/>
    <mergeCell ref="A146:B146"/>
    <mergeCell ref="C146:E146"/>
    <mergeCell ref="F146:H146"/>
    <mergeCell ref="A133:H133"/>
    <mergeCell ref="A134:A136"/>
    <mergeCell ref="B134:B136"/>
    <mergeCell ref="C134:C135"/>
    <mergeCell ref="D134:E134"/>
    <mergeCell ref="F134:G134"/>
    <mergeCell ref="H134:H135"/>
    <mergeCell ref="A129:F129"/>
    <mergeCell ref="G129:H129"/>
    <mergeCell ref="A130:F130"/>
    <mergeCell ref="G130:H130"/>
    <mergeCell ref="G131:H131"/>
    <mergeCell ref="A132:F132"/>
    <mergeCell ref="G132:H132"/>
    <mergeCell ref="A126:C126"/>
    <mergeCell ref="G126:H126"/>
    <mergeCell ref="A127:C127"/>
    <mergeCell ref="G127:H127"/>
    <mergeCell ref="A128:D128"/>
    <mergeCell ref="G128:H128"/>
    <mergeCell ref="A120:F122"/>
    <mergeCell ref="G120:H122"/>
    <mergeCell ref="G123:H123"/>
    <mergeCell ref="G124:H124"/>
    <mergeCell ref="A125:C125"/>
    <mergeCell ref="G125:H125"/>
    <mergeCell ref="A101:H101"/>
    <mergeCell ref="A102:A104"/>
    <mergeCell ref="B102:B104"/>
    <mergeCell ref="C102:C103"/>
    <mergeCell ref="D102:E102"/>
    <mergeCell ref="F102:G102"/>
    <mergeCell ref="H102:H103"/>
    <mergeCell ref="A98:F98"/>
    <mergeCell ref="G98:H98"/>
    <mergeCell ref="A99:F99"/>
    <mergeCell ref="G99:H99"/>
    <mergeCell ref="A100:F100"/>
    <mergeCell ref="G100:H100"/>
    <mergeCell ref="A93:F93"/>
    <mergeCell ref="G93:H93"/>
    <mergeCell ref="G94:H94"/>
    <mergeCell ref="G95:H95"/>
    <mergeCell ref="G96:H96"/>
    <mergeCell ref="A97:F97"/>
    <mergeCell ref="G97:H97"/>
    <mergeCell ref="G88:H88"/>
    <mergeCell ref="A89:D89"/>
    <mergeCell ref="G89:H89"/>
    <mergeCell ref="G90:H90"/>
    <mergeCell ref="G91:H91"/>
    <mergeCell ref="G92:H92"/>
    <mergeCell ref="H75:H76"/>
    <mergeCell ref="A85:F85"/>
    <mergeCell ref="G85:H85"/>
    <mergeCell ref="A86:C86"/>
    <mergeCell ref="G86:H86"/>
    <mergeCell ref="G87:H87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A57:H57"/>
    <mergeCell ref="B58:C60"/>
    <mergeCell ref="D58:E58"/>
    <mergeCell ref="F58:H58"/>
    <mergeCell ref="D59:E59"/>
    <mergeCell ref="F59:G59"/>
    <mergeCell ref="D60:E60"/>
    <mergeCell ref="F60:G60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0:C42"/>
    <mergeCell ref="D40:E41"/>
    <mergeCell ref="F40:H40"/>
    <mergeCell ref="F41:G41"/>
    <mergeCell ref="D42:E42"/>
    <mergeCell ref="F42:G42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A1:F1"/>
    <mergeCell ref="A3:F3"/>
    <mergeCell ref="A4:F4"/>
    <mergeCell ref="A5:F5"/>
    <mergeCell ref="A6:F6"/>
    <mergeCell ref="II6:IN12"/>
  </mergeCells>
  <conditionalFormatting sqref="A8">
    <cfRule type="cellIs" dxfId="22" priority="1" stopIfTrue="1" operator="lessThan">
      <formula>0.25</formula>
    </cfRule>
    <cfRule type="expression" dxfId="21" priority="2" stopIfTrue="1">
      <formula>$D$119&lt;($F$119+$H$119)</formula>
    </cfRule>
  </conditionalFormatting>
  <conditionalFormatting sqref="H132">
    <cfRule type="expression" dxfId="20" priority="3" stopIfTrue="1">
      <formula>A14=1</formula>
    </cfRule>
    <cfRule type="cellIs" dxfId="19" priority="4" stopIfTrue="1" operator="lessThan">
      <formula>0.25</formula>
    </cfRule>
  </conditionalFormatting>
  <conditionalFormatting sqref="F102 D102 A102">
    <cfRule type="expression" dxfId="18" priority="5" stopIfTrue="1">
      <formula>$IV$119=0</formula>
    </cfRule>
  </conditionalFormatting>
  <conditionalFormatting sqref="G132">
    <cfRule type="expression" dxfId="17" priority="6" stopIfTrue="1">
      <formula>XFD14=1</formula>
    </cfRule>
    <cfRule type="cellIs" dxfId="16" priority="7" stopIfTrue="1" operator="lessThan">
      <formula>0.25</formula>
    </cfRule>
  </conditionalFormatting>
  <conditionalFormatting sqref="G132">
    <cfRule type="expression" dxfId="15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158</cp:revision>
  <cp:lastPrinted>1601-01-01T00:00:00Z</cp:lastPrinted>
  <dcterms:created xsi:type="dcterms:W3CDTF">2004-08-09T19:29:24Z</dcterms:created>
  <dcterms:modified xsi:type="dcterms:W3CDTF">2019-02-14T14:46:24Z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