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380" windowHeight="813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Cancela">(#REF!,#REF!)</definedName>
    <definedName name="Excel_BuiltIn__FilterDatabase" localSheetId="13">'Anexo 12 - Saúde'!$A$3:$G$7</definedName>
    <definedName name="fdsafs">(#REF!,#REF!)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#REF!</definedName>
    <definedName name="Planilha">#REF!</definedName>
    <definedName name="Planilha_1">(#REF!,#REF!)</definedName>
    <definedName name="Planilha_1ÁreaTotal" localSheetId="12">(#REF!,#REF!)</definedName>
    <definedName name="Planilha_1ÁreaTotal" localSheetId="13">(#REF!,#REF!)</definedName>
    <definedName name="Planilha_1ÁreaTotal" localSheetId="14">(#REF!,#REF!)</definedName>
    <definedName name="Planilha_1ÁreaTotal" localSheetId="4">(#REF!,#REF!)</definedName>
    <definedName name="Planilha_1ÁreaTotal" localSheetId="5">(#REF!,#REF!)</definedName>
    <definedName name="Planilha_1ÁreaTotal" localSheetId="6">(#REF!,#REF!)</definedName>
    <definedName name="Planilha_1ÁreaTotal" localSheetId="7">('Anexo 7 - RP Poder e Órgão'!#REF!,'Anexo 7 - RP Poder e Órgão'!$H$11:$L$20)</definedName>
    <definedName name="Planilha_1ÁreaTotal" localSheetId="8">(#REF!,#REF!)</definedName>
    <definedName name="Planilha_1ÁreaTotal" localSheetId="9">(#REF!,#REF!)</definedName>
    <definedName name="Planilha_1ÁreaTotal" localSheetId="10">(#REF!,#REF!)</definedName>
    <definedName name="Planilha_1ÁreaTotal">(#REF!,#REF!)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(#REF!,#REF!)</definedName>
    <definedName name="Planilha_1TítCols" localSheetId="13">(#REF!,#REF!)</definedName>
    <definedName name="Planilha_1TítCols" localSheetId="14">(#REF!,#REF!)</definedName>
    <definedName name="Planilha_1TítCols" localSheetId="4">(#REF!,#REF!)</definedName>
    <definedName name="Planilha_1TítCols" localSheetId="5">(#REF!,#REF!)</definedName>
    <definedName name="Planilha_1TítCols" localSheetId="6">(#REF!,#REF!)</definedName>
    <definedName name="Planilha_1TítCols" localSheetId="7">('Anexo 7 - RP Poder e Órgão'!#REF!,'Anexo 7 - RP Poder e Órgão'!#REF!)</definedName>
    <definedName name="Planilha_1TítCols" localSheetId="8">(#REF!,#REF!)</definedName>
    <definedName name="Planilha_1TítCols" localSheetId="9">(#REF!,#REF!)</definedName>
    <definedName name="Planilha_1TítCols" localSheetId="10">(#REF!,#REF!)</definedName>
    <definedName name="Planilha_1TítCols">(#REF!,#REF!)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(#REF!,#REF!)</definedName>
    <definedName name="Planilha_2ÁreaTotal" localSheetId="13">(#REF!,#REF!)</definedName>
    <definedName name="Planilha_2ÁreaTotal" localSheetId="14">(#REF!,#REF!)</definedName>
    <definedName name="Planilha_2ÁreaTotal" localSheetId="5">(#REF!,#REF!)</definedName>
    <definedName name="Planilha_2ÁreaTotal" localSheetId="6">(#REF!,#REF!)</definedName>
    <definedName name="Planilha_2ÁreaTotal" localSheetId="7">(#REF!,#REF!)</definedName>
    <definedName name="Planilha_2ÁreaTotal" localSheetId="8">(#REF!,#REF!)</definedName>
    <definedName name="Planilha_2ÁreaTotal" localSheetId="9">(#REF!,#REF!)</definedName>
    <definedName name="Planilha_2ÁreaTotal">(#REF!,#REF!)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(#REF!,#REF!)</definedName>
    <definedName name="Planilha_2TítCols" localSheetId="13">(#REF!,#REF!)</definedName>
    <definedName name="Planilha_2TítCols" localSheetId="14">(#REF!,#REF!)</definedName>
    <definedName name="Planilha_2TítCols" localSheetId="5">(#REF!,#REF!)</definedName>
    <definedName name="Planilha_2TítCols" localSheetId="6">(#REF!,#REF!)</definedName>
    <definedName name="Planilha_2TítCols" localSheetId="7">(#REF!,#REF!)</definedName>
    <definedName name="Planilha_2TítCols" localSheetId="8">(#REF!,#REF!)</definedName>
    <definedName name="Planilha_2TítCols" localSheetId="9">(#REF!,#REF!)</definedName>
    <definedName name="Planilha_2TítCols">(#REF!,#REF!)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(#REF!,#REF!)</definedName>
    <definedName name="Planilha_3ÁreaTotal" localSheetId="13">(#REF!,#REF!)</definedName>
    <definedName name="Planilha_3ÁreaTotal" localSheetId="14">(#REF!,#REF!)</definedName>
    <definedName name="Planilha_3ÁreaTotal" localSheetId="5">(#REF!,#REF!)</definedName>
    <definedName name="Planilha_3ÁreaTotal" localSheetId="6">(#REF!,#REF!)</definedName>
    <definedName name="Planilha_3ÁreaTotal" localSheetId="7">(#REF!,#REF!)</definedName>
    <definedName name="Planilha_3ÁreaTotal" localSheetId="8">(#REF!,#REF!)</definedName>
    <definedName name="Planilha_3ÁreaTotal" localSheetId="9">(#REF!,#REF!)</definedName>
    <definedName name="Planilha_3ÁreaTotal">(#REF!,#REF!)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(#REF!,#REF!)</definedName>
    <definedName name="Planilha_3TítCols" localSheetId="13">(#REF!,#REF!)</definedName>
    <definedName name="Planilha_3TítCols" localSheetId="14">(#REF!,#REF!)</definedName>
    <definedName name="Planilha_3TítCols" localSheetId="5">(#REF!,#REF!)</definedName>
    <definedName name="Planilha_3TítCols" localSheetId="6">(#REF!,#REF!)</definedName>
    <definedName name="Planilha_3TítCols" localSheetId="7">(#REF!,#REF!)</definedName>
    <definedName name="Planilha_3TítCols" localSheetId="8">(#REF!,#REF!)</definedName>
    <definedName name="Planilha_3TítCols" localSheetId="9">(#REF!,#REF!)</definedName>
    <definedName name="Planilha_3TítCols">(#REF!,#REF!)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(#REF!,#REF!)</definedName>
    <definedName name="Planilha_4ÁreaTotal" localSheetId="13">(#REF!,#REF!)</definedName>
    <definedName name="Planilha_4ÁreaTotal" localSheetId="14">(#REF!,#REF!)</definedName>
    <definedName name="Planilha_4ÁreaTotal" localSheetId="5">(#REF!,#REF!)</definedName>
    <definedName name="Planilha_4ÁreaTotal" localSheetId="6">(#REF!,#REF!)</definedName>
    <definedName name="Planilha_4ÁreaTotal" localSheetId="7">(#REF!,#REF!)</definedName>
    <definedName name="Planilha_4ÁreaTotal" localSheetId="8">(#REF!,#REF!)</definedName>
    <definedName name="Planilha_4ÁreaTotal" localSheetId="9">(#REF!,#REF!)</definedName>
    <definedName name="Planilha_4ÁreaTotal">(#REF!,#REF!)</definedName>
    <definedName name="Planilha_4TítCols" localSheetId="12">(#REF!,#REF!)</definedName>
    <definedName name="Planilha_4TítCols" localSheetId="13">(#REF!,#REF!)</definedName>
    <definedName name="Planilha_4TítCols" localSheetId="14">(#REF!,#REF!)</definedName>
    <definedName name="Planilha_4TítCols" localSheetId="5">(#REF!,#REF!)</definedName>
    <definedName name="Planilha_4TítCols" localSheetId="6">(#REF!,#REF!)</definedName>
    <definedName name="Planilha_4TítCols" localSheetId="7">(#REF!,#REF!)</definedName>
    <definedName name="Planilha_4TítCols" localSheetId="8">(#REF!,#REF!)</definedName>
    <definedName name="Planilha_4TítCols" localSheetId="9">(#REF!,#REF!)</definedName>
    <definedName name="Planilha_4TítCols">(#REF!,#REF!)</definedName>
    <definedName name="Planilha_Educação" localSheetId="12">(#REF!,#REF!)</definedName>
    <definedName name="Planilha_Educação">(#REF!,#REF!)</definedName>
    <definedName name="Planilha1">(#REF!,#REF!)</definedName>
    <definedName name="Planilhas">#REF!</definedName>
    <definedName name="Print_Area" localSheetId="1">'Anexo 1 - Balanço Orçamentário'!$A$1:$L$201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PPP'!$A$1:$L$33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RCL'!$A$1:$O$31</definedName>
    <definedName name="Print_Area" localSheetId="4">'Anexo 4 - RPPS'!$A$1:$K$153</definedName>
    <definedName name="Print_Area" localSheetId="5">'Anexo 5 - Resultado Nominal'!$A$1:$G$32</definedName>
    <definedName name="Print_Area" localSheetId="6">'Anexo 6 - Primário Municípios'!$A$1:$H$73</definedName>
    <definedName name="Print_Area" localSheetId="7">'Anexo 7 - RP Poder e Órgão'!$A$1:$M$21</definedName>
    <definedName name="Print_Area" localSheetId="8">'Anexo 8 - MDE'!$A$1:$H$168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#REF!</definedName>
    <definedName name="RGPS1">#REF!</definedName>
    <definedName name="RGPS2">(#REF!,#REF!)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(#REF!,#REF!)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H22" i="2"/>
  <c r="K22" i="2"/>
  <c r="L22" i="2"/>
  <c r="B23" i="2"/>
  <c r="D23" i="2"/>
  <c r="F23" i="2"/>
  <c r="H23" i="2"/>
  <c r="I23" i="2"/>
  <c r="K23" i="2"/>
  <c r="H24" i="2"/>
  <c r="K24" i="2"/>
  <c r="L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B31" i="2"/>
  <c r="D31" i="2"/>
  <c r="L31" i="2"/>
  <c r="F31" i="2"/>
  <c r="H31" i="2"/>
  <c r="I31" i="2"/>
  <c r="K31" i="2"/>
  <c r="H32" i="2"/>
  <c r="K32" i="2"/>
  <c r="L32" i="2"/>
  <c r="H33" i="2"/>
  <c r="K33" i="2"/>
  <c r="L33" i="2"/>
  <c r="H34" i="2"/>
  <c r="K34" i="2"/>
  <c r="L34" i="2"/>
  <c r="B35" i="2"/>
  <c r="D35" i="2"/>
  <c r="L35" i="2"/>
  <c r="F35" i="2"/>
  <c r="H35" i="2"/>
  <c r="I35" i="2"/>
  <c r="K35" i="2"/>
  <c r="H36" i="2"/>
  <c r="K36" i="2"/>
  <c r="L36" i="2"/>
  <c r="H37" i="2"/>
  <c r="K37" i="2"/>
  <c r="L37" i="2"/>
  <c r="H38" i="2"/>
  <c r="K38" i="2"/>
  <c r="L38" i="2"/>
  <c r="H39" i="2"/>
  <c r="K39" i="2"/>
  <c r="L39" i="2"/>
  <c r="H40" i="2"/>
  <c r="K40" i="2"/>
  <c r="L40" i="2"/>
  <c r="B41" i="2"/>
  <c r="D41" i="2"/>
  <c r="F41" i="2"/>
  <c r="I41" i="2"/>
  <c r="K41" i="2"/>
  <c r="H42" i="2"/>
  <c r="K42" i="2"/>
  <c r="L42" i="2"/>
  <c r="H43" i="2"/>
  <c r="K43" i="2"/>
  <c r="L43" i="2"/>
  <c r="H44" i="2"/>
  <c r="K44" i="2"/>
  <c r="L44" i="2"/>
  <c r="H45" i="2"/>
  <c r="K45" i="2"/>
  <c r="L45" i="2"/>
  <c r="H46" i="2"/>
  <c r="K46" i="2"/>
  <c r="L46" i="2"/>
  <c r="H47" i="2"/>
  <c r="K47" i="2"/>
  <c r="L47" i="2"/>
  <c r="B48" i="2"/>
  <c r="D48" i="2"/>
  <c r="L48" i="2"/>
  <c r="F48" i="2"/>
  <c r="H48" i="2"/>
  <c r="I48" i="2"/>
  <c r="K48" i="2"/>
  <c r="H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F54" i="2"/>
  <c r="H55" i="2"/>
  <c r="I55" i="2"/>
  <c r="I54" i="2"/>
  <c r="K55" i="2"/>
  <c r="H56" i="2"/>
  <c r="K56" i="2"/>
  <c r="L56" i="2"/>
  <c r="H57" i="2"/>
  <c r="K57" i="2"/>
  <c r="L57" i="2"/>
  <c r="B58" i="2"/>
  <c r="D58" i="2"/>
  <c r="F58" i="2"/>
  <c r="H58" i="2"/>
  <c r="I58" i="2"/>
  <c r="K58" i="2"/>
  <c r="L58" i="2"/>
  <c r="H59" i="2"/>
  <c r="K59" i="2"/>
  <c r="L59" i="2"/>
  <c r="H60" i="2"/>
  <c r="K60" i="2"/>
  <c r="L60" i="2"/>
  <c r="H61" i="2"/>
  <c r="K61" i="2"/>
  <c r="L61" i="2"/>
  <c r="B62" i="2"/>
  <c r="D62" i="2"/>
  <c r="L62" i="2"/>
  <c r="F62" i="2"/>
  <c r="H62" i="2"/>
  <c r="I62" i="2"/>
  <c r="K62" i="2"/>
  <c r="H63" i="2"/>
  <c r="K63" i="2"/>
  <c r="L63" i="2"/>
  <c r="H64" i="2"/>
  <c r="K64" i="2"/>
  <c r="L64" i="2"/>
  <c r="H65" i="2"/>
  <c r="K65" i="2"/>
  <c r="L65" i="2"/>
  <c r="H66" i="2"/>
  <c r="K66" i="2"/>
  <c r="L66" i="2"/>
  <c r="H67" i="2"/>
  <c r="K67" i="2"/>
  <c r="L67" i="2"/>
  <c r="H68" i="2"/>
  <c r="K68" i="2"/>
  <c r="L68" i="2"/>
  <c r="H69" i="2"/>
  <c r="K69" i="2"/>
  <c r="L69" i="2"/>
  <c r="B70" i="2"/>
  <c r="D70" i="2"/>
  <c r="L70" i="2"/>
  <c r="F70" i="2"/>
  <c r="H70" i="2"/>
  <c r="I70" i="2"/>
  <c r="K70" i="2"/>
  <c r="H71" i="2"/>
  <c r="K71" i="2"/>
  <c r="L71" i="2"/>
  <c r="H72" i="2"/>
  <c r="K72" i="2"/>
  <c r="L72" i="2"/>
  <c r="H73" i="2"/>
  <c r="K73" i="2"/>
  <c r="L73" i="2"/>
  <c r="H74" i="2"/>
  <c r="K74" i="2"/>
  <c r="L74" i="2"/>
  <c r="H75" i="2"/>
  <c r="K75" i="2"/>
  <c r="L75" i="2"/>
  <c r="B79" i="2"/>
  <c r="B78" i="2"/>
  <c r="D79" i="2"/>
  <c r="D78" i="2"/>
  <c r="F79" i="2"/>
  <c r="F78" i="2"/>
  <c r="H79" i="2"/>
  <c r="I79" i="2"/>
  <c r="I78" i="2"/>
  <c r="K79" i="2"/>
  <c r="L79" i="2"/>
  <c r="H80" i="2"/>
  <c r="K80" i="2"/>
  <c r="L80" i="2"/>
  <c r="H81" i="2"/>
  <c r="K81" i="2"/>
  <c r="L81" i="2"/>
  <c r="B82" i="2"/>
  <c r="D82" i="2"/>
  <c r="F82" i="2"/>
  <c r="H82" i="2"/>
  <c r="I82" i="2"/>
  <c r="K82" i="2"/>
  <c r="L82" i="2"/>
  <c r="H83" i="2"/>
  <c r="K83" i="2"/>
  <c r="L83" i="2"/>
  <c r="H84" i="2"/>
  <c r="K84" i="2"/>
  <c r="L84" i="2"/>
  <c r="B98" i="2"/>
  <c r="C98" i="2"/>
  <c r="D98" i="2"/>
  <c r="D97" i="2"/>
  <c r="E98" i="2"/>
  <c r="E97" i="2"/>
  <c r="G98" i="2"/>
  <c r="G97" i="2"/>
  <c r="J98" i="2"/>
  <c r="J97" i="2"/>
  <c r="K98" i="2"/>
  <c r="K97" i="2"/>
  <c r="F99" i="2"/>
  <c r="I99" i="2"/>
  <c r="F100" i="2"/>
  <c r="I100" i="2"/>
  <c r="F101" i="2"/>
  <c r="I101" i="2"/>
  <c r="B102" i="2"/>
  <c r="C102" i="2"/>
  <c r="F102" i="2"/>
  <c r="D102" i="2"/>
  <c r="E102" i="2"/>
  <c r="G102" i="2"/>
  <c r="H102" i="2"/>
  <c r="H97" i="2"/>
  <c r="J102" i="2"/>
  <c r="K102" i="2"/>
  <c r="F103" i="2"/>
  <c r="I103" i="2"/>
  <c r="F104" i="2"/>
  <c r="I104" i="2"/>
  <c r="F105" i="2"/>
  <c r="I105" i="2"/>
  <c r="F106" i="2"/>
  <c r="I106" i="2"/>
  <c r="B110" i="2"/>
  <c r="B109" i="2"/>
  <c r="C110" i="2"/>
  <c r="C109" i="2"/>
  <c r="D110" i="2"/>
  <c r="D109" i="2"/>
  <c r="E110" i="2"/>
  <c r="E109" i="2"/>
  <c r="G110" i="2"/>
  <c r="G109" i="2"/>
  <c r="H110" i="2"/>
  <c r="H109" i="2"/>
  <c r="J110" i="2"/>
  <c r="J109" i="2"/>
  <c r="K110" i="2"/>
  <c r="K109" i="2"/>
  <c r="F111" i="2"/>
  <c r="F110" i="2"/>
  <c r="F109" i="2"/>
  <c r="I111" i="2"/>
  <c r="I110" i="2"/>
  <c r="I109" i="2"/>
  <c r="F112" i="2"/>
  <c r="I112" i="2"/>
  <c r="B113" i="2"/>
  <c r="C113" i="2"/>
  <c r="F113" i="2"/>
  <c r="D113" i="2"/>
  <c r="E113" i="2"/>
  <c r="G113" i="2"/>
  <c r="H113" i="2"/>
  <c r="I113" i="2"/>
  <c r="J113" i="2"/>
  <c r="K113" i="2"/>
  <c r="F114" i="2"/>
  <c r="I114" i="2"/>
  <c r="F115" i="2"/>
  <c r="I115" i="2"/>
  <c r="F119" i="2"/>
  <c r="I119" i="2"/>
  <c r="B128" i="2"/>
  <c r="D128" i="2"/>
  <c r="D127" i="2"/>
  <c r="F128" i="2"/>
  <c r="H128" i="2"/>
  <c r="I128" i="2"/>
  <c r="K128" i="2"/>
  <c r="H129" i="2"/>
  <c r="K129" i="2"/>
  <c r="L129" i="2"/>
  <c r="H130" i="2"/>
  <c r="K130" i="2"/>
  <c r="L130" i="2"/>
  <c r="H131" i="2"/>
  <c r="K131" i="2"/>
  <c r="L131" i="2"/>
  <c r="B132" i="2"/>
  <c r="B127" i="2"/>
  <c r="D132" i="2"/>
  <c r="L132" i="2"/>
  <c r="F132" i="2"/>
  <c r="F127" i="2"/>
  <c r="H132" i="2"/>
  <c r="I132" i="2"/>
  <c r="I127" i="2"/>
  <c r="K132" i="2"/>
  <c r="H133" i="2"/>
  <c r="K133" i="2"/>
  <c r="L133" i="2"/>
  <c r="H134" i="2"/>
  <c r="K134" i="2"/>
  <c r="L134" i="2"/>
  <c r="H135" i="2"/>
  <c r="K135" i="2"/>
  <c r="L135" i="2"/>
  <c r="B136" i="2"/>
  <c r="D136" i="2"/>
  <c r="L136" i="2"/>
  <c r="F136" i="2"/>
  <c r="H136" i="2"/>
  <c r="I136" i="2"/>
  <c r="K136" i="2"/>
  <c r="H137" i="2"/>
  <c r="K137" i="2"/>
  <c r="L137" i="2"/>
  <c r="H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B144" i="2"/>
  <c r="D144" i="2"/>
  <c r="L144" i="2"/>
  <c r="F144" i="2"/>
  <c r="H144" i="2"/>
  <c r="I144" i="2"/>
  <c r="K144" i="2"/>
  <c r="H145" i="2"/>
  <c r="K145" i="2"/>
  <c r="L145" i="2"/>
  <c r="H146" i="2"/>
  <c r="K146" i="2"/>
  <c r="L146" i="2"/>
  <c r="H147" i="2"/>
  <c r="K147" i="2"/>
  <c r="L147" i="2"/>
  <c r="B148" i="2"/>
  <c r="D148" i="2"/>
  <c r="L148" i="2"/>
  <c r="F148" i="2"/>
  <c r="H148" i="2"/>
  <c r="I148" i="2"/>
  <c r="K148" i="2"/>
  <c r="H149" i="2"/>
  <c r="K149" i="2"/>
  <c r="L149" i="2"/>
  <c r="H150" i="2"/>
  <c r="K150" i="2"/>
  <c r="L150" i="2"/>
  <c r="H151" i="2"/>
  <c r="K151" i="2"/>
  <c r="L151" i="2"/>
  <c r="H152" i="2"/>
  <c r="K152" i="2"/>
  <c r="L152" i="2"/>
  <c r="H153" i="2"/>
  <c r="K153" i="2"/>
  <c r="L153" i="2"/>
  <c r="B154" i="2"/>
  <c r="D154" i="2"/>
  <c r="L154" i="2"/>
  <c r="F154" i="2"/>
  <c r="H154" i="2"/>
  <c r="I154" i="2"/>
  <c r="K154" i="2"/>
  <c r="H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K160" i="2"/>
  <c r="L160" i="2"/>
  <c r="B161" i="2"/>
  <c r="D161" i="2"/>
  <c r="F161" i="2"/>
  <c r="H161" i="2"/>
  <c r="I161" i="2"/>
  <c r="K161" i="2"/>
  <c r="L161" i="2"/>
  <c r="H162" i="2"/>
  <c r="K162" i="2"/>
  <c r="L162" i="2"/>
  <c r="H163" i="2"/>
  <c r="K163" i="2"/>
  <c r="L163" i="2"/>
  <c r="H164" i="2"/>
  <c r="K164" i="2"/>
  <c r="L164" i="2"/>
  <c r="H165" i="2"/>
  <c r="K165" i="2"/>
  <c r="L165" i="2"/>
  <c r="H166" i="2"/>
  <c r="K166" i="2"/>
  <c r="L166" i="2"/>
  <c r="B168" i="2"/>
  <c r="D168" i="2"/>
  <c r="D167" i="2"/>
  <c r="F168" i="2"/>
  <c r="H168" i="2"/>
  <c r="I168" i="2"/>
  <c r="K168" i="2"/>
  <c r="H169" i="2"/>
  <c r="K169" i="2"/>
  <c r="L169" i="2"/>
  <c r="H170" i="2"/>
  <c r="K170" i="2"/>
  <c r="L170" i="2"/>
  <c r="B171" i="2"/>
  <c r="B167" i="2"/>
  <c r="D171" i="2"/>
  <c r="F171" i="2"/>
  <c r="F167" i="2"/>
  <c r="H171" i="2"/>
  <c r="I171" i="2"/>
  <c r="I167" i="2"/>
  <c r="K171" i="2"/>
  <c r="L171" i="2"/>
  <c r="H172" i="2"/>
  <c r="K172" i="2"/>
  <c r="L172" i="2"/>
  <c r="H173" i="2"/>
  <c r="K173" i="2"/>
  <c r="L173" i="2"/>
  <c r="H174" i="2"/>
  <c r="K174" i="2"/>
  <c r="L174" i="2"/>
  <c r="B175" i="2"/>
  <c r="D175" i="2"/>
  <c r="F175" i="2"/>
  <c r="H175" i="2"/>
  <c r="I175" i="2"/>
  <c r="K175" i="2"/>
  <c r="L175" i="2"/>
  <c r="H176" i="2"/>
  <c r="K176" i="2"/>
  <c r="L176" i="2"/>
  <c r="H177" i="2"/>
  <c r="K177" i="2"/>
  <c r="L177" i="2"/>
  <c r="H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B183" i="2"/>
  <c r="D183" i="2"/>
  <c r="F183" i="2"/>
  <c r="H183" i="2"/>
  <c r="I183" i="2"/>
  <c r="K183" i="2"/>
  <c r="L183" i="2"/>
  <c r="H184" i="2"/>
  <c r="K184" i="2"/>
  <c r="L184" i="2"/>
  <c r="H185" i="2"/>
  <c r="K185" i="2"/>
  <c r="L185" i="2"/>
  <c r="H186" i="2"/>
  <c r="K186" i="2"/>
  <c r="L186" i="2"/>
  <c r="H187" i="2"/>
  <c r="K187" i="2"/>
  <c r="L187" i="2"/>
  <c r="H188" i="2"/>
  <c r="K188" i="2"/>
  <c r="L188" i="2"/>
  <c r="B193" i="2"/>
  <c r="B107" i="2"/>
  <c r="J193" i="2"/>
  <c r="J107" i="2"/>
  <c r="J108" i="2"/>
  <c r="J116" i="2"/>
  <c r="J118" i="2"/>
  <c r="B194" i="2"/>
  <c r="C194" i="2"/>
  <c r="F194" i="2"/>
  <c r="D194" i="2"/>
  <c r="D193" i="2"/>
  <c r="D107" i="2"/>
  <c r="E194" i="2"/>
  <c r="G194" i="2"/>
  <c r="H194" i="2"/>
  <c r="H193" i="2"/>
  <c r="H107" i="2"/>
  <c r="I194" i="2"/>
  <c r="J194" i="2"/>
  <c r="K194" i="2"/>
  <c r="F195" i="2"/>
  <c r="I195" i="2"/>
  <c r="F196" i="2"/>
  <c r="I196" i="2"/>
  <c r="F197" i="2"/>
  <c r="I197" i="2"/>
  <c r="B198" i="2"/>
  <c r="C198" i="2"/>
  <c r="D198" i="2"/>
  <c r="E198" i="2"/>
  <c r="G198" i="2"/>
  <c r="H198" i="2"/>
  <c r="I198" i="2"/>
  <c r="J198" i="2"/>
  <c r="K198" i="2"/>
  <c r="F199" i="2"/>
  <c r="I199" i="2"/>
  <c r="F200" i="2"/>
  <c r="I200" i="2"/>
  <c r="F201" i="2"/>
  <c r="I201" i="2"/>
  <c r="A3" i="12"/>
  <c r="A7" i="12"/>
  <c r="H13" i="12"/>
  <c r="H14" i="12"/>
  <c r="J14" i="12"/>
  <c r="J15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D20" i="13"/>
  <c r="F20" i="13"/>
  <c r="B21" i="13"/>
  <c r="C21" i="13"/>
  <c r="C20" i="13"/>
  <c r="D21" i="13"/>
  <c r="E21" i="13"/>
  <c r="E20" i="13"/>
  <c r="F21" i="13"/>
  <c r="G21" i="13"/>
  <c r="G20" i="13"/>
  <c r="H22" i="13"/>
  <c r="H23" i="13"/>
  <c r="H24" i="13"/>
  <c r="B25" i="13"/>
  <c r="C25" i="13"/>
  <c r="D25" i="13"/>
  <c r="E25" i="13"/>
  <c r="H25" i="13"/>
  <c r="F25" i="13"/>
  <c r="G25" i="13"/>
  <c r="H26" i="13"/>
  <c r="H27" i="13"/>
  <c r="B29" i="13"/>
  <c r="A3" i="14"/>
  <c r="A7" i="14"/>
  <c r="IO6" i="14"/>
  <c r="IT8" i="14"/>
  <c r="IT10" i="14"/>
  <c r="IT12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C22" i="14"/>
  <c r="F23" i="14"/>
  <c r="F24" i="14"/>
  <c r="F25" i="14"/>
  <c r="F26" i="14"/>
  <c r="F27" i="14"/>
  <c r="B28" i="14"/>
  <c r="B22" i="14"/>
  <c r="C28" i="14"/>
  <c r="D28" i="14"/>
  <c r="D22" i="14"/>
  <c r="D31" i="14"/>
  <c r="F28" i="14"/>
  <c r="F29" i="14"/>
  <c r="F30" i="14"/>
  <c r="C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B57" i="14"/>
  <c r="B74" i="14"/>
  <c r="C53" i="14"/>
  <c r="D53" i="14"/>
  <c r="E53" i="14"/>
  <c r="F53" i="14"/>
  <c r="F57" i="14"/>
  <c r="G53" i="14"/>
  <c r="H53" i="14"/>
  <c r="H57" i="14"/>
  <c r="H74" i="14"/>
  <c r="E54" i="14"/>
  <c r="G54" i="14"/>
  <c r="E55" i="14"/>
  <c r="G55" i="14"/>
  <c r="E56" i="14"/>
  <c r="G56" i="14"/>
  <c r="C57" i="14"/>
  <c r="G57" i="14"/>
  <c r="B64" i="14"/>
  <c r="B72" i="14"/>
  <c r="C64" i="14"/>
  <c r="D64" i="14"/>
  <c r="D72" i="14"/>
  <c r="F64" i="14"/>
  <c r="H64" i="14"/>
  <c r="C72" i="14"/>
  <c r="F72" i="14"/>
  <c r="H72" i="14"/>
  <c r="IV72" i="14"/>
  <c r="A73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3" i="14"/>
  <c r="H120" i="14"/>
  <c r="A3" i="15"/>
  <c r="A7" i="15"/>
  <c r="I21" i="15"/>
  <c r="A22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D35" i="15"/>
  <c r="D37" i="15"/>
  <c r="E27" i="15"/>
  <c r="F27" i="15"/>
  <c r="F35" i="15"/>
  <c r="F37" i="15"/>
  <c r="G27" i="15"/>
  <c r="H27" i="15"/>
  <c r="H35" i="15"/>
  <c r="H37" i="15"/>
  <c r="E35" i="15"/>
  <c r="E37" i="15"/>
  <c r="G35" i="15"/>
  <c r="G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27" i="16"/>
  <c r="C27" i="16"/>
  <c r="D27" i="16"/>
  <c r="E27" i="16"/>
  <c r="F27" i="16"/>
  <c r="G27" i="16"/>
  <c r="H27" i="16"/>
  <c r="I27" i="16"/>
  <c r="J27" i="16"/>
  <c r="K27" i="16"/>
  <c r="L27" i="16"/>
  <c r="B30" i="16"/>
  <c r="C30" i="16"/>
  <c r="D30" i="16"/>
  <c r="E30" i="16"/>
  <c r="F30" i="16"/>
  <c r="G30" i="16"/>
  <c r="H30" i="16"/>
  <c r="I30" i="16"/>
  <c r="J30" i="16"/>
  <c r="K30" i="16"/>
  <c r="L30" i="16"/>
  <c r="B31" i="16"/>
  <c r="D31" i="16"/>
  <c r="E31" i="16"/>
  <c r="F31" i="16"/>
  <c r="G31" i="16"/>
  <c r="H31" i="16"/>
  <c r="I31" i="16"/>
  <c r="J31" i="16"/>
  <c r="K31" i="16"/>
  <c r="L31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L13" i="3"/>
  <c r="L181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G22" i="3"/>
  <c r="D22" i="3"/>
  <c r="E22" i="3"/>
  <c r="H22" i="3"/>
  <c r="I22" i="3"/>
  <c r="J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8" i="3"/>
  <c r="J88" i="3"/>
  <c r="K88" i="3"/>
  <c r="B89" i="3"/>
  <c r="C89" i="3"/>
  <c r="G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D107" i="3"/>
  <c r="E107" i="3"/>
  <c r="G107" i="3"/>
  <c r="H107" i="3"/>
  <c r="I107" i="3"/>
  <c r="J107" i="3"/>
  <c r="K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G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K123" i="3"/>
  <c r="L123" i="3"/>
  <c r="G124" i="3"/>
  <c r="J124" i="3"/>
  <c r="K124" i="3"/>
  <c r="G125" i="3"/>
  <c r="J125" i="3"/>
  <c r="K125" i="3"/>
  <c r="G126" i="3"/>
  <c r="J126" i="3"/>
  <c r="K126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N15" i="4"/>
  <c r="N16" i="4"/>
  <c r="N17" i="4"/>
  <c r="N18" i="4"/>
  <c r="N19" i="4"/>
  <c r="N20" i="4"/>
  <c r="N21" i="4"/>
  <c r="N22" i="4"/>
  <c r="N23" i="4"/>
  <c r="N24" i="4"/>
  <c r="B25" i="4"/>
  <c r="B13" i="4"/>
  <c r="C25" i="4"/>
  <c r="C13" i="4"/>
  <c r="D25" i="4"/>
  <c r="E25" i="4"/>
  <c r="F25" i="4"/>
  <c r="F13" i="4"/>
  <c r="G25" i="4"/>
  <c r="H25" i="4"/>
  <c r="I25" i="4"/>
  <c r="J25" i="4"/>
  <c r="J13" i="4"/>
  <c r="K25" i="4"/>
  <c r="K13" i="4"/>
  <c r="L25" i="4"/>
  <c r="M25" i="4"/>
  <c r="O25" i="4"/>
  <c r="N26" i="4"/>
  <c r="N27" i="4"/>
  <c r="N28" i="4"/>
  <c r="N29" i="4"/>
  <c r="N30" i="4"/>
  <c r="N31" i="4"/>
  <c r="N32" i="4"/>
  <c r="N33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O35" i="4"/>
  <c r="N36" i="4"/>
  <c r="N37" i="4"/>
  <c r="N38" i="4"/>
  <c r="A3" i="5"/>
  <c r="A7" i="5"/>
  <c r="H12" i="5"/>
  <c r="H13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2" i="5"/>
  <c r="F42" i="5"/>
  <c r="H42" i="5"/>
  <c r="J42" i="5"/>
  <c r="H46" i="5"/>
  <c r="B51" i="5"/>
  <c r="D51" i="5"/>
  <c r="F51" i="5"/>
  <c r="G51" i="5"/>
  <c r="H51" i="5"/>
  <c r="I51" i="5"/>
  <c r="J51" i="5"/>
  <c r="K51" i="5"/>
  <c r="B55" i="5"/>
  <c r="B54" i="5"/>
  <c r="B66" i="5"/>
  <c r="D55" i="5"/>
  <c r="D54" i="5"/>
  <c r="D66" i="5"/>
  <c r="F55" i="5"/>
  <c r="F54" i="5"/>
  <c r="F66" i="5"/>
  <c r="F68" i="5"/>
  <c r="G55" i="5"/>
  <c r="G54" i="5"/>
  <c r="G66" i="5"/>
  <c r="H55" i="5"/>
  <c r="H54" i="5"/>
  <c r="H66" i="5"/>
  <c r="H68" i="5"/>
  <c r="I55" i="5"/>
  <c r="I54" i="5"/>
  <c r="I66" i="5"/>
  <c r="J55" i="5"/>
  <c r="J54" i="5"/>
  <c r="J66" i="5"/>
  <c r="K55" i="5"/>
  <c r="K54" i="5"/>
  <c r="K66" i="5"/>
  <c r="B59" i="5"/>
  <c r="D59" i="5"/>
  <c r="F59" i="5"/>
  <c r="G59" i="5"/>
  <c r="H59" i="5"/>
  <c r="I59" i="5"/>
  <c r="J59" i="5"/>
  <c r="K59" i="5"/>
  <c r="B63" i="5"/>
  <c r="D63" i="5"/>
  <c r="F63" i="5"/>
  <c r="G63" i="5"/>
  <c r="H63" i="5"/>
  <c r="I63" i="5"/>
  <c r="J63" i="5"/>
  <c r="K63" i="5"/>
  <c r="B96" i="5"/>
  <c r="B95" i="5"/>
  <c r="F96" i="5"/>
  <c r="F95" i="5"/>
  <c r="H96" i="5"/>
  <c r="H95" i="5"/>
  <c r="J96" i="5"/>
  <c r="J95" i="5"/>
  <c r="B100" i="5"/>
  <c r="F100" i="5"/>
  <c r="H100" i="5"/>
  <c r="J100" i="5"/>
  <c r="B105" i="5"/>
  <c r="B104" i="5"/>
  <c r="F105" i="5"/>
  <c r="F104" i="5"/>
  <c r="H105" i="5"/>
  <c r="H104" i="5"/>
  <c r="J105" i="5"/>
  <c r="J104" i="5"/>
  <c r="B109" i="5"/>
  <c r="F109" i="5"/>
  <c r="H109" i="5"/>
  <c r="J109" i="5"/>
  <c r="B114" i="5"/>
  <c r="F114" i="5"/>
  <c r="H114" i="5"/>
  <c r="J114" i="5"/>
  <c r="B119" i="5"/>
  <c r="F119" i="5"/>
  <c r="H119" i="5"/>
  <c r="J119" i="5"/>
  <c r="B122" i="5"/>
  <c r="F122" i="5"/>
  <c r="H122" i="5"/>
  <c r="J122" i="5"/>
  <c r="B131" i="5"/>
  <c r="D131" i="5"/>
  <c r="F131" i="5"/>
  <c r="G131" i="5"/>
  <c r="H131" i="5"/>
  <c r="I131" i="5"/>
  <c r="J131" i="5"/>
  <c r="K131" i="5"/>
  <c r="B135" i="5"/>
  <c r="B134" i="5"/>
  <c r="B146" i="5"/>
  <c r="D135" i="5"/>
  <c r="D134" i="5"/>
  <c r="D146" i="5"/>
  <c r="F135" i="5"/>
  <c r="F134" i="5"/>
  <c r="F146" i="5"/>
  <c r="G135" i="5"/>
  <c r="G134" i="5"/>
  <c r="G146" i="5"/>
  <c r="H135" i="5"/>
  <c r="H134" i="5"/>
  <c r="H146" i="5"/>
  <c r="I135" i="5"/>
  <c r="I134" i="5"/>
  <c r="I146" i="5"/>
  <c r="J135" i="5"/>
  <c r="J134" i="5"/>
  <c r="J146" i="5"/>
  <c r="K135" i="5"/>
  <c r="K134" i="5"/>
  <c r="K146" i="5"/>
  <c r="B139" i="5"/>
  <c r="D139" i="5"/>
  <c r="F139" i="5"/>
  <c r="G139" i="5"/>
  <c r="H139" i="5"/>
  <c r="I139" i="5"/>
  <c r="J139" i="5"/>
  <c r="K139" i="5"/>
  <c r="B143" i="5"/>
  <c r="D143" i="5"/>
  <c r="F143" i="5"/>
  <c r="G143" i="5"/>
  <c r="H143" i="5"/>
  <c r="I143" i="5"/>
  <c r="J143" i="5"/>
  <c r="K143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A3" i="7"/>
  <c r="A7" i="7"/>
  <c r="D12" i="7"/>
  <c r="B14" i="7"/>
  <c r="C14" i="7"/>
  <c r="D14" i="7"/>
  <c r="E14" i="7"/>
  <c r="F14" i="7"/>
  <c r="G14" i="7"/>
  <c r="H14" i="7"/>
  <c r="B20" i="7"/>
  <c r="C20" i="7"/>
  <c r="D20" i="7"/>
  <c r="E20" i="7"/>
  <c r="F20" i="7"/>
  <c r="G20" i="7"/>
  <c r="H20" i="7"/>
  <c r="B23" i="7"/>
  <c r="D23" i="7"/>
  <c r="E23" i="7"/>
  <c r="F23" i="7"/>
  <c r="G23" i="7"/>
  <c r="G13" i="7"/>
  <c r="H23" i="7"/>
  <c r="H13" i="7"/>
  <c r="B26" i="7"/>
  <c r="C26" i="7"/>
  <c r="D26" i="7"/>
  <c r="E26" i="7"/>
  <c r="F26" i="7"/>
  <c r="G26" i="7"/>
  <c r="H26" i="7"/>
  <c r="B32" i="7"/>
  <c r="C32" i="7"/>
  <c r="D32" i="7"/>
  <c r="E32" i="7"/>
  <c r="G32" i="7"/>
  <c r="H32" i="7"/>
  <c r="G35" i="7"/>
  <c r="H35" i="7"/>
  <c r="B39" i="7"/>
  <c r="B35" i="7"/>
  <c r="B43" i="7"/>
  <c r="D39" i="7"/>
  <c r="D35" i="7"/>
  <c r="D43" i="7"/>
  <c r="F39" i="7"/>
  <c r="F35" i="7"/>
  <c r="F43" i="7"/>
  <c r="B49" i="7"/>
  <c r="B53" i="7"/>
  <c r="C49" i="7"/>
  <c r="D49" i="7"/>
  <c r="D53" i="7"/>
  <c r="D64" i="7"/>
  <c r="E49" i="7"/>
  <c r="E53" i="7"/>
  <c r="E64" i="7"/>
  <c r="F49" i="7"/>
  <c r="F53" i="7"/>
  <c r="G49" i="7"/>
  <c r="H49" i="7"/>
  <c r="C53" i="7"/>
  <c r="G53" i="7"/>
  <c r="H53" i="7"/>
  <c r="B56" i="7"/>
  <c r="B54" i="7"/>
  <c r="B61" i="7"/>
  <c r="C56" i="7"/>
  <c r="C54" i="7"/>
  <c r="C61" i="7"/>
  <c r="C64" i="7"/>
  <c r="D56" i="7"/>
  <c r="D54" i="7"/>
  <c r="D61" i="7"/>
  <c r="E56" i="7"/>
  <c r="E54" i="7"/>
  <c r="E61" i="7"/>
  <c r="F56" i="7"/>
  <c r="F54" i="7"/>
  <c r="F61" i="7"/>
  <c r="G56" i="7"/>
  <c r="G54" i="7"/>
  <c r="G61" i="7"/>
  <c r="G64" i="7"/>
  <c r="H56" i="7"/>
  <c r="H54" i="7"/>
  <c r="H61" i="7"/>
  <c r="H64" i="7"/>
  <c r="A3" i="8"/>
  <c r="A7" i="8"/>
  <c r="C14" i="8"/>
  <c r="H14" i="8"/>
  <c r="B16" i="8"/>
  <c r="B20" i="8"/>
  <c r="C16" i="8"/>
  <c r="D16" i="8"/>
  <c r="D20" i="8"/>
  <c r="E16" i="8"/>
  <c r="F16" i="8"/>
  <c r="F20" i="8"/>
  <c r="G16" i="8"/>
  <c r="H16" i="8"/>
  <c r="H20" i="8"/>
  <c r="I16" i="8"/>
  <c r="J16" i="8"/>
  <c r="J20" i="8"/>
  <c r="K16" i="8"/>
  <c r="L16" i="8"/>
  <c r="L20" i="8"/>
  <c r="M17" i="8"/>
  <c r="M16" i="8"/>
  <c r="M20" i="8"/>
  <c r="M18" i="8"/>
  <c r="M19" i="8"/>
  <c r="C20" i="8"/>
  <c r="E20" i="8"/>
  <c r="G20" i="8"/>
  <c r="I20" i="8"/>
  <c r="K20" i="8"/>
  <c r="A3" i="9"/>
  <c r="A7" i="9"/>
  <c r="IO6" i="9"/>
  <c r="B15" i="9"/>
  <c r="D15" i="9"/>
  <c r="D14" i="9"/>
  <c r="F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F14" i="9"/>
  <c r="H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42" i="9"/>
  <c r="B43" i="9"/>
  <c r="D43" i="9"/>
  <c r="F43" i="9"/>
  <c r="H43" i="9"/>
  <c r="H44" i="9"/>
  <c r="H45" i="9"/>
  <c r="H46" i="9"/>
  <c r="H47" i="9"/>
  <c r="H48" i="9"/>
  <c r="H49" i="9"/>
  <c r="B50" i="9"/>
  <c r="D50" i="9"/>
  <c r="F50" i="9"/>
  <c r="H50" i="9"/>
  <c r="H51" i="9"/>
  <c r="H52" i="9"/>
  <c r="H53" i="9"/>
  <c r="H54" i="9"/>
  <c r="B55" i="9"/>
  <c r="D55" i="9"/>
  <c r="F55" i="9"/>
  <c r="H55" i="9"/>
  <c r="B60" i="9"/>
  <c r="B71" i="9"/>
  <c r="D60" i="9"/>
  <c r="D71" i="9"/>
  <c r="F60" i="9"/>
  <c r="H60" i="9"/>
  <c r="H61" i="9"/>
  <c r="H62" i="9"/>
  <c r="H63" i="9"/>
  <c r="H64" i="9"/>
  <c r="H65" i="9"/>
  <c r="H66" i="9"/>
  <c r="B67" i="9"/>
  <c r="D67" i="9"/>
  <c r="F67" i="9"/>
  <c r="H67" i="9"/>
  <c r="H68" i="9"/>
  <c r="H69" i="9"/>
  <c r="H70" i="9"/>
  <c r="B77" i="9"/>
  <c r="B83" i="9"/>
  <c r="C77" i="9"/>
  <c r="D77" i="9"/>
  <c r="E77" i="9"/>
  <c r="F77" i="9"/>
  <c r="G77" i="9"/>
  <c r="H77" i="9"/>
  <c r="E78" i="9"/>
  <c r="G78" i="9"/>
  <c r="E79" i="9"/>
  <c r="G79" i="9"/>
  <c r="B80" i="9"/>
  <c r="C80" i="9"/>
  <c r="C83" i="9"/>
  <c r="D80" i="9"/>
  <c r="E80" i="9"/>
  <c r="F80" i="9"/>
  <c r="G80" i="9"/>
  <c r="H80" i="9"/>
  <c r="E81" i="9"/>
  <c r="G81" i="9"/>
  <c r="E82" i="9"/>
  <c r="G82" i="9"/>
  <c r="F83" i="9"/>
  <c r="G93" i="9"/>
  <c r="H83" i="9"/>
  <c r="G85" i="9"/>
  <c r="G88" i="9"/>
  <c r="G91" i="9"/>
  <c r="G94" i="9"/>
  <c r="G95" i="9"/>
  <c r="B105" i="9"/>
  <c r="C105" i="9"/>
  <c r="C104" i="9"/>
  <c r="D105" i="9"/>
  <c r="E105" i="9"/>
  <c r="F105" i="9"/>
  <c r="G105" i="9"/>
  <c r="H105" i="9"/>
  <c r="E106" i="9"/>
  <c r="G106" i="9"/>
  <c r="E107" i="9"/>
  <c r="G107" i="9"/>
  <c r="B108" i="9"/>
  <c r="B104" i="9"/>
  <c r="C108" i="9"/>
  <c r="D108" i="9"/>
  <c r="D104" i="9"/>
  <c r="D118" i="9"/>
  <c r="D141" i="9"/>
  <c r="E108" i="9"/>
  <c r="F108" i="9"/>
  <c r="F104" i="9"/>
  <c r="G108" i="9"/>
  <c r="H108" i="9"/>
  <c r="H104" i="9"/>
  <c r="H118" i="9"/>
  <c r="H141" i="9"/>
  <c r="E109" i="9"/>
  <c r="G109" i="9"/>
  <c r="E110" i="9"/>
  <c r="G110" i="9"/>
  <c r="B111" i="9"/>
  <c r="B118" i="9"/>
  <c r="B141" i="9"/>
  <c r="C111" i="9"/>
  <c r="C118" i="9"/>
  <c r="D111" i="9"/>
  <c r="E111" i="9"/>
  <c r="F111" i="9"/>
  <c r="G111" i="9"/>
  <c r="H111" i="9"/>
  <c r="E112" i="9"/>
  <c r="G112" i="9"/>
  <c r="E113" i="9"/>
  <c r="G113" i="9"/>
  <c r="E114" i="9"/>
  <c r="G114" i="9"/>
  <c r="E115" i="9"/>
  <c r="G115" i="9"/>
  <c r="E116" i="9"/>
  <c r="G116" i="9"/>
  <c r="E117" i="9"/>
  <c r="G117" i="9"/>
  <c r="G124" i="9"/>
  <c r="E136" i="9"/>
  <c r="G136" i="9"/>
  <c r="E137" i="9"/>
  <c r="G137" i="9"/>
  <c r="E138" i="9"/>
  <c r="G138" i="9"/>
  <c r="E139" i="9"/>
  <c r="G139" i="9"/>
  <c r="B140" i="9"/>
  <c r="C140" i="9"/>
  <c r="D140" i="9"/>
  <c r="E140" i="9"/>
  <c r="F140" i="9"/>
  <c r="G140" i="9"/>
  <c r="H140" i="9"/>
  <c r="C145" i="9"/>
  <c r="F145" i="9"/>
  <c r="C152" i="9"/>
  <c r="F152" i="9"/>
  <c r="C156" i="9"/>
  <c r="F156" i="9"/>
  <c r="C157" i="9"/>
  <c r="F157" i="9"/>
  <c r="C160" i="9"/>
  <c r="F160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F20" i="11"/>
  <c r="H20" i="11"/>
  <c r="D22" i="11"/>
  <c r="IO4" i="1"/>
  <c r="IT5" i="1"/>
  <c r="IT6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19" i="1"/>
  <c r="C20" i="1"/>
  <c r="C21" i="1"/>
  <c r="C22" i="1"/>
  <c r="I102" i="2"/>
  <c r="C97" i="2"/>
  <c r="B97" i="2"/>
  <c r="I98" i="2"/>
  <c r="I97" i="2"/>
  <c r="F98" i="2"/>
  <c r="F97" i="2"/>
  <c r="D54" i="2"/>
  <c r="K54" i="2"/>
  <c r="B54" i="2"/>
  <c r="B13" i="2"/>
  <c r="H41" i="2"/>
  <c r="L41" i="2"/>
  <c r="L23" i="2"/>
  <c r="I14" i="2"/>
  <c r="I13" i="2"/>
  <c r="F14" i="2"/>
  <c r="F13" i="2"/>
  <c r="F77" i="2"/>
  <c r="F85" i="2"/>
  <c r="F87" i="2"/>
  <c r="D14" i="2"/>
  <c r="B14" i="2"/>
  <c r="K15" i="2"/>
  <c r="H15" i="2"/>
  <c r="L15" i="2"/>
  <c r="IT12" i="9"/>
  <c r="IT10" i="9"/>
  <c r="IT8" i="9"/>
  <c r="IT11" i="1"/>
  <c r="D3" i="1"/>
  <c r="IV118" i="9"/>
  <c r="D101" i="9"/>
  <c r="IV83" i="9"/>
  <c r="IT11" i="9"/>
  <c r="IT9" i="9"/>
  <c r="IT13" i="9"/>
  <c r="IT7" i="9"/>
  <c r="I35" i="15"/>
  <c r="A36" i="15"/>
  <c r="IV57" i="14"/>
  <c r="A58" i="14"/>
  <c r="IT11" i="14"/>
  <c r="IT9" i="14"/>
  <c r="IT7" i="14"/>
  <c r="IT13" i="14"/>
  <c r="C23" i="1"/>
  <c r="IV14" i="14"/>
  <c r="A7" i="10"/>
  <c r="E104" i="9"/>
  <c r="G104" i="9"/>
  <c r="H94" i="5"/>
  <c r="H126" i="5"/>
  <c r="B94" i="5"/>
  <c r="B126" i="5"/>
  <c r="B148" i="5"/>
  <c r="J13" i="5"/>
  <c r="J46" i="5"/>
  <c r="D13" i="10"/>
  <c r="F13" i="10"/>
  <c r="B27" i="10"/>
  <c r="F38" i="9"/>
  <c r="FA12" i="7"/>
  <c r="F12" i="7"/>
  <c r="C48" i="7"/>
  <c r="E48" i="7"/>
  <c r="G48" i="7"/>
  <c r="J94" i="5"/>
  <c r="J126" i="5"/>
  <c r="F94" i="5"/>
  <c r="F126" i="5"/>
  <c r="D148" i="5"/>
  <c r="F13" i="5"/>
  <c r="F46" i="5"/>
  <c r="D68" i="5"/>
  <c r="B13" i="5"/>
  <c r="B46" i="5"/>
  <c r="B68" i="5"/>
  <c r="FA12" i="5"/>
  <c r="J12" i="5"/>
  <c r="FC12" i="5"/>
  <c r="FB12" i="5"/>
  <c r="F50" i="5"/>
  <c r="H50" i="5"/>
  <c r="J50" i="5"/>
  <c r="F130" i="5"/>
  <c r="O13" i="4"/>
  <c r="O39" i="4"/>
  <c r="M13" i="4"/>
  <c r="M39" i="4"/>
  <c r="I13" i="4"/>
  <c r="M8" i="16"/>
  <c r="A8" i="16"/>
  <c r="G62" i="14"/>
  <c r="G63" i="14"/>
  <c r="G64" i="14"/>
  <c r="F74" i="14"/>
  <c r="G65" i="14"/>
  <c r="G66" i="14"/>
  <c r="G67" i="14"/>
  <c r="G68" i="14"/>
  <c r="G69" i="14"/>
  <c r="G70" i="14"/>
  <c r="G71" i="14"/>
  <c r="G72" i="14"/>
  <c r="C31" i="13"/>
  <c r="H31" i="13"/>
  <c r="IV14" i="9"/>
  <c r="G131" i="9"/>
  <c r="N14" i="4"/>
  <c r="C24" i="16"/>
  <c r="D22" i="16"/>
  <c r="E22" i="16"/>
  <c r="F22" i="16"/>
  <c r="G22" i="16"/>
  <c r="H22" i="16"/>
  <c r="I22" i="16"/>
  <c r="J22" i="16"/>
  <c r="K22" i="16"/>
  <c r="L22" i="16"/>
  <c r="G119" i="14"/>
  <c r="G118" i="14"/>
  <c r="G117" i="14"/>
  <c r="G116" i="14"/>
  <c r="G115" i="14"/>
  <c r="G114" i="14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E119" i="14"/>
  <c r="E118" i="14"/>
  <c r="E117" i="14"/>
  <c r="E116" i="14"/>
  <c r="E115" i="14"/>
  <c r="E114" i="14"/>
  <c r="H21" i="13"/>
  <c r="B20" i="13"/>
  <c r="H20" i="13"/>
  <c r="F198" i="2"/>
  <c r="H167" i="2"/>
  <c r="K167" i="2"/>
  <c r="L167" i="2"/>
  <c r="H78" i="2"/>
  <c r="K78" i="2"/>
  <c r="L78" i="2"/>
  <c r="H54" i="2"/>
  <c r="L54" i="2"/>
  <c r="K193" i="2"/>
  <c r="K107" i="2"/>
  <c r="K108" i="2"/>
  <c r="K116" i="2"/>
  <c r="G193" i="2"/>
  <c r="G107" i="2"/>
  <c r="E193" i="2"/>
  <c r="E107" i="2"/>
  <c r="E108" i="2"/>
  <c r="E116" i="2"/>
  <c r="C193" i="2"/>
  <c r="I126" i="2"/>
  <c r="I76" i="2"/>
  <c r="F126" i="2"/>
  <c r="F76" i="2"/>
  <c r="B126" i="2"/>
  <c r="B76" i="2"/>
  <c r="H127" i="2"/>
  <c r="K127" i="2"/>
  <c r="D126" i="2"/>
  <c r="L127" i="2"/>
  <c r="H108" i="2"/>
  <c r="H116" i="2"/>
  <c r="G108" i="2"/>
  <c r="G116" i="2"/>
  <c r="D108" i="2"/>
  <c r="D116" i="2"/>
  <c r="D118" i="2"/>
  <c r="B108" i="2"/>
  <c r="B116" i="2"/>
  <c r="B118" i="2"/>
  <c r="L168" i="2"/>
  <c r="L128" i="2"/>
  <c r="L55" i="2"/>
  <c r="K14" i="2"/>
  <c r="H14" i="2"/>
  <c r="D13" i="2"/>
  <c r="H13" i="2"/>
  <c r="L14" i="2"/>
  <c r="A8" i="14"/>
  <c r="B77" i="2"/>
  <c r="B85" i="2"/>
  <c r="B87" i="2"/>
  <c r="I77" i="2"/>
  <c r="I85" i="2"/>
  <c r="D76" i="2"/>
  <c r="L126" i="2"/>
  <c r="H126" i="2"/>
  <c r="K126" i="2"/>
  <c r="I193" i="2"/>
  <c r="I107" i="2"/>
  <c r="C107" i="2"/>
  <c r="C108" i="2"/>
  <c r="F193" i="2"/>
  <c r="F107" i="2"/>
  <c r="H130" i="5"/>
  <c r="J130" i="5"/>
  <c r="G50" i="5"/>
  <c r="I50" i="5"/>
  <c r="K50" i="5"/>
  <c r="G130" i="5"/>
  <c r="I130" i="5"/>
  <c r="K130" i="5"/>
  <c r="G148" i="5"/>
  <c r="I148" i="5"/>
  <c r="D48" i="7"/>
  <c r="F48" i="7"/>
  <c r="H48" i="7"/>
  <c r="G68" i="5"/>
  <c r="I68" i="5"/>
  <c r="F148" i="5"/>
  <c r="H148" i="5"/>
  <c r="L13" i="2"/>
  <c r="B85" i="5"/>
  <c r="H93" i="5"/>
  <c r="D27" i="10"/>
  <c r="F27" i="10"/>
  <c r="K13" i="2"/>
  <c r="D77" i="2"/>
  <c r="L77" i="2"/>
  <c r="F108" i="2"/>
  <c r="F116" i="2"/>
  <c r="I108" i="2"/>
  <c r="I116" i="2"/>
  <c r="C116" i="2"/>
  <c r="C118" i="2"/>
  <c r="E117" i="2"/>
  <c r="E118" i="2"/>
  <c r="I86" i="2"/>
  <c r="I87" i="2"/>
  <c r="H117" i="2"/>
  <c r="H118" i="2"/>
  <c r="H85" i="5"/>
  <c r="J93" i="5"/>
  <c r="H76" i="2"/>
  <c r="K76" i="2"/>
  <c r="L76" i="2"/>
  <c r="D85" i="2"/>
  <c r="L85" i="2"/>
  <c r="D87" i="2"/>
  <c r="L87" i="2"/>
  <c r="F64" i="7"/>
  <c r="B64" i="7"/>
  <c r="E13" i="7"/>
  <c r="C13" i="7"/>
  <c r="D13" i="7"/>
  <c r="D44" i="7"/>
  <c r="C66" i="7"/>
  <c r="F13" i="7"/>
  <c r="F44" i="7"/>
  <c r="B13" i="7"/>
  <c r="B44" i="7"/>
  <c r="B23" i="6"/>
  <c r="F23" i="6"/>
  <c r="B27" i="6"/>
  <c r="E27" i="6"/>
  <c r="D23" i="6"/>
  <c r="K39" i="4"/>
  <c r="J39" i="4"/>
  <c r="I39" i="4"/>
  <c r="L13" i="4"/>
  <c r="L39" i="4"/>
  <c r="H13" i="4"/>
  <c r="H39" i="4"/>
  <c r="G13" i="4"/>
  <c r="E13" i="4"/>
  <c r="N35" i="4"/>
  <c r="G39" i="4"/>
  <c r="F39" i="4"/>
  <c r="E39" i="4"/>
  <c r="C39" i="4"/>
  <c r="B39" i="4"/>
  <c r="D13" i="4"/>
  <c r="N25" i="4"/>
  <c r="D39" i="4"/>
  <c r="G169" i="3"/>
  <c r="K169" i="3"/>
  <c r="K164" i="3"/>
  <c r="G157" i="3"/>
  <c r="K157" i="3"/>
  <c r="G123" i="3"/>
  <c r="G98" i="3"/>
  <c r="K98" i="3"/>
  <c r="K89" i="3"/>
  <c r="G79" i="3"/>
  <c r="K79" i="3"/>
  <c r="G65" i="3"/>
  <c r="K65" i="3"/>
  <c r="H13" i="3"/>
  <c r="H181" i="3"/>
  <c r="G53" i="3"/>
  <c r="K53" i="3"/>
  <c r="I13" i="3"/>
  <c r="I181" i="3"/>
  <c r="J15" i="3"/>
  <c r="E13" i="3"/>
  <c r="E181" i="3"/>
  <c r="F20" i="3"/>
  <c r="D13" i="3"/>
  <c r="D181" i="3"/>
  <c r="K22" i="3"/>
  <c r="B13" i="3"/>
  <c r="B181" i="3"/>
  <c r="G26" i="3"/>
  <c r="C13" i="3"/>
  <c r="K26" i="3"/>
  <c r="K14" i="3"/>
  <c r="F66" i="7"/>
  <c r="B66" i="7"/>
  <c r="E66" i="7"/>
  <c r="D66" i="7"/>
  <c r="N13" i="4"/>
  <c r="N39" i="4"/>
  <c r="M29" i="16"/>
  <c r="C29" i="16"/>
  <c r="C31" i="16"/>
  <c r="F116" i="3"/>
  <c r="F38" i="3"/>
  <c r="F141" i="3"/>
  <c r="F174" i="3"/>
  <c r="F58" i="3"/>
  <c r="F160" i="3"/>
  <c r="F149" i="3"/>
  <c r="F86" i="3"/>
  <c r="F33" i="3"/>
  <c r="F61" i="3"/>
  <c r="F96" i="3"/>
  <c r="J13" i="3"/>
  <c r="J181" i="3"/>
  <c r="F168" i="3"/>
  <c r="F100" i="3"/>
  <c r="F17" i="3"/>
  <c r="F126" i="3"/>
  <c r="F69" i="3"/>
  <c r="F14" i="3"/>
  <c r="F180" i="3"/>
  <c r="F170" i="3"/>
  <c r="F134" i="3"/>
  <c r="F104" i="3"/>
  <c r="F72" i="3"/>
  <c r="F46" i="3"/>
  <c r="F21" i="3"/>
  <c r="F153" i="3"/>
  <c r="F119" i="3"/>
  <c r="F77" i="3"/>
  <c r="F42" i="3"/>
  <c r="F173" i="3"/>
  <c r="F139" i="3"/>
  <c r="F113" i="3"/>
  <c r="F83" i="3"/>
  <c r="F55" i="3"/>
  <c r="F30" i="3"/>
  <c r="F16" i="3"/>
  <c r="F176" i="3"/>
  <c r="F172" i="3"/>
  <c r="F159" i="3"/>
  <c r="F138" i="3"/>
  <c r="F125" i="3"/>
  <c r="F112" i="3"/>
  <c r="F95" i="3"/>
  <c r="F82" i="3"/>
  <c r="F68" i="3"/>
  <c r="F54" i="3"/>
  <c r="F37" i="3"/>
  <c r="F29" i="3"/>
  <c r="F13" i="3"/>
  <c r="F181" i="3"/>
  <c r="F157" i="3"/>
  <c r="F145" i="3"/>
  <c r="F123" i="3"/>
  <c r="F108" i="3"/>
  <c r="F91" i="3"/>
  <c r="F65" i="3"/>
  <c r="F51" i="3"/>
  <c r="F25" i="3"/>
  <c r="F177" i="3"/>
  <c r="F164" i="3"/>
  <c r="F150" i="3"/>
  <c r="F135" i="3"/>
  <c r="F117" i="3"/>
  <c r="F105" i="3"/>
  <c r="F88" i="3"/>
  <c r="F73" i="3"/>
  <c r="F59" i="3"/>
  <c r="F47" i="3"/>
  <c r="F34" i="3"/>
  <c r="F22" i="3"/>
  <c r="F163" i="3"/>
  <c r="F151" i="3"/>
  <c r="F140" i="3"/>
  <c r="F136" i="3"/>
  <c r="F129" i="3"/>
  <c r="F118" i="3"/>
  <c r="F114" i="3"/>
  <c r="F106" i="3"/>
  <c r="F97" i="3"/>
  <c r="F89" i="3"/>
  <c r="F84" i="3"/>
  <c r="F80" i="3"/>
  <c r="F70" i="3"/>
  <c r="F66" i="3"/>
  <c r="F56" i="3"/>
  <c r="F48" i="3"/>
  <c r="F39" i="3"/>
  <c r="F35" i="3"/>
  <c r="F31" i="3"/>
  <c r="F27" i="3"/>
  <c r="F19" i="3"/>
  <c r="F161" i="3"/>
  <c r="F166" i="3"/>
  <c r="F155" i="3"/>
  <c r="F147" i="3"/>
  <c r="F143" i="3"/>
  <c r="F132" i="3"/>
  <c r="F121" i="3"/>
  <c r="F110" i="3"/>
  <c r="F102" i="3"/>
  <c r="F93" i="3"/>
  <c r="F79" i="3"/>
  <c r="F75" i="3"/>
  <c r="F63" i="3"/>
  <c r="F53" i="3"/>
  <c r="F44" i="3"/>
  <c r="F40" i="3"/>
  <c r="F23" i="3"/>
  <c r="F15" i="3"/>
  <c r="F175" i="3"/>
  <c r="F171" i="3"/>
  <c r="F162" i="3"/>
  <c r="F158" i="3"/>
  <c r="F148" i="3"/>
  <c r="F137" i="3"/>
  <c r="F130" i="3"/>
  <c r="F124" i="3"/>
  <c r="F115" i="3"/>
  <c r="F107" i="3"/>
  <c r="F98" i="3"/>
  <c r="F94" i="3"/>
  <c r="F85" i="3"/>
  <c r="F81" i="3"/>
  <c r="F71" i="3"/>
  <c r="F67" i="3"/>
  <c r="F57" i="3"/>
  <c r="F49" i="3"/>
  <c r="F45" i="3"/>
  <c r="F36" i="3"/>
  <c r="F32" i="3"/>
  <c r="F28" i="3"/>
  <c r="F24" i="3"/>
  <c r="F41" i="3"/>
  <c r="F50" i="3"/>
  <c r="F60" i="3"/>
  <c r="F64" i="3"/>
  <c r="F76" i="3"/>
  <c r="F90" i="3"/>
  <c r="F99" i="3"/>
  <c r="F103" i="3"/>
  <c r="F111" i="3"/>
  <c r="F122" i="3"/>
  <c r="F133" i="3"/>
  <c r="F144" i="3"/>
  <c r="F152" i="3"/>
  <c r="F156" i="3"/>
  <c r="F167" i="3"/>
  <c r="F26" i="3"/>
  <c r="F43" i="3"/>
  <c r="F52" i="3"/>
  <c r="F62" i="3"/>
  <c r="F74" i="3"/>
  <c r="F92" i="3"/>
  <c r="F101" i="3"/>
  <c r="F120" i="3"/>
  <c r="F131" i="3"/>
  <c r="F146" i="3"/>
  <c r="F165" i="3"/>
  <c r="F18" i="3"/>
  <c r="F78" i="3"/>
  <c r="F109" i="3"/>
  <c r="F142" i="3"/>
  <c r="F154" i="3"/>
  <c r="F169" i="3"/>
  <c r="G13" i="3"/>
  <c r="G181" i="3"/>
  <c r="K13" i="3"/>
  <c r="K181" i="3"/>
  <c r="C181" i="3"/>
  <c r="H28" i="9"/>
  <c r="B14" i="9"/>
  <c r="B38" i="9"/>
  <c r="D38" i="9"/>
  <c r="H38" i="9"/>
  <c r="H14" i="9"/>
  <c r="H15" i="9"/>
  <c r="F22" i="14"/>
  <c r="C31" i="14"/>
  <c r="F31" i="14"/>
  <c r="B31" i="14"/>
  <c r="D57" i="14"/>
  <c r="IV76" i="14"/>
  <c r="E76" i="14"/>
  <c r="E72" i="14"/>
  <c r="E70" i="14"/>
  <c r="E66" i="14"/>
  <c r="C74" i="14"/>
  <c r="C44" i="14"/>
  <c r="F44" i="14"/>
  <c r="E78" i="14"/>
  <c r="J20" i="11"/>
  <c r="J22" i="11"/>
  <c r="F118" i="9"/>
  <c r="F141" i="9"/>
  <c r="F101" i="9"/>
  <c r="A101" i="9"/>
  <c r="C141" i="9"/>
  <c r="E118" i="9"/>
  <c r="G83" i="9"/>
  <c r="G96" i="9"/>
  <c r="D83" i="9"/>
  <c r="E83" i="9"/>
  <c r="F71" i="9"/>
  <c r="E64" i="14"/>
  <c r="E67" i="14"/>
  <c r="E71" i="14"/>
  <c r="D74" i="14"/>
  <c r="E65" i="14"/>
  <c r="E69" i="14"/>
  <c r="E63" i="14"/>
  <c r="E68" i="14"/>
  <c r="E62" i="14"/>
  <c r="E57" i="14"/>
  <c r="G118" i="9"/>
  <c r="A8" i="9"/>
  <c r="G141" i="9"/>
  <c r="E141" i="9"/>
  <c r="F73" i="9"/>
  <c r="F72" i="9"/>
  <c r="G122" i="9"/>
  <c r="G129" i="9"/>
  <c r="G130" i="9"/>
  <c r="H71" i="9"/>
</calcChain>
</file>

<file path=xl/sharedStrings.xml><?xml version="1.0" encoding="utf-8"?>
<sst xmlns="http://schemas.openxmlformats.org/spreadsheetml/2006/main" count="1636" uniqueCount="1043">
  <si>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</si>
  <si>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</si>
  <si>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</si>
  <si>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r>
      <rPr>
        <sz val="8"/>
        <rFont val="Cambria"/>
        <family val="1"/>
      </rPr>
      <t>&lt;</t>
    </r>
    <r>
      <rPr>
        <b/>
        <sz val="8"/>
        <rFont val="Cambria"/>
        <family val="1"/>
      </rPr>
      <t>SELECIONE O PERÍODO</t>
    </r>
    <r>
      <rPr>
        <sz val="8"/>
        <rFont val="Cambria"/>
        <family val="1"/>
      </rPr>
      <t xml:space="preserve"> CLICANDO NA SETA AO LADO&gt;</t>
    </r>
  </si>
  <si>
    <t>2º Bimestre de 2017</t>
  </si>
  <si>
    <t>1º Bimestre de 2017</t>
  </si>
  <si>
    <r>
      <rPr>
        <b/>
        <sz val="18"/>
        <rFont val="Times New Roman"/>
        <family val="1"/>
      </rPr>
      <t xml:space="preserve">INFORMAÇÕES INICIAIS - </t>
    </r>
    <r>
      <rPr>
        <b/>
        <sz val="12"/>
        <rFont val="Times New Roman"/>
        <family val="1"/>
      </rPr>
      <t>Versão 2017.1</t>
    </r>
  </si>
  <si>
    <t>3º Bimestre de 2017</t>
  </si>
  <si>
    <t>DADOS DO GESTOR</t>
  </si>
  <si>
    <t>4º Bimestre de 2017</t>
  </si>
  <si>
    <t>Nome do Gestor</t>
  </si>
  <si>
    <t>5º Bimestre de 2017</t>
  </si>
  <si>
    <t>Período de Mandato</t>
  </si>
  <si>
    <t>6º Bimestre de 2017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</si>
  <si>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</si>
  <si>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</si>
  <si>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</si>
  <si>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</si>
  <si>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</si>
  <si>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</si>
  <si>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</si>
  <si>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</si>
  <si>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</si>
  <si>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</si>
  <si>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</si>
  <si>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</si>
  <si>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</si>
  <si>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V2017.1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</si>
  <si>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</si>
  <si>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</si>
  <si>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</si>
  <si>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</si>
  <si>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</si>
  <si>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</si>
  <si>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</si>
  <si>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</si>
  <si>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</si>
  <si>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</si>
  <si>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</si>
  <si>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</si>
  <si>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</si>
  <si>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</si>
  <si>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</si>
  <si>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</si>
  <si>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</si>
  <si>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</si>
  <si>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</si>
  <si>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</si>
  <si>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</si>
  <si>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</si>
  <si>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</si>
  <si>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</si>
  <si>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</si>
  <si>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</si>
  <si>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</si>
  <si>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</si>
  <si>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</si>
  <si>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</si>
  <si>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</si>
  <si>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</si>
  <si>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</si>
  <si>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</si>
  <si>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</si>
  <si>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</si>
  <si>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</si>
  <si>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</si>
  <si>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</si>
  <si>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</si>
  <si>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</si>
  <si>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</si>
  <si>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</si>
  <si>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</si>
  <si>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</si>
  <si>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</si>
  <si>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</si>
  <si>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</si>
  <si>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</si>
  <si>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</si>
  <si>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</si>
  <si>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</si>
  <si>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</si>
  <si>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</si>
  <si>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</si>
  <si>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</si>
  <si>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</si>
  <si>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</si>
  <si>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Receitas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</si>
  <si>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</si>
  <si>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</si>
  <si>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</si>
  <si>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</si>
  <si>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</si>
  <si>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</si>
  <si>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</si>
  <si>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</si>
  <si>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</si>
  <si>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</si>
  <si>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</si>
  <si>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</si>
  <si>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</si>
  <si>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 Dív. Atv. Prov. da Amortiz. de Emp. e Financ.       </t>
  </si>
  <si>
    <t xml:space="preserve">           Receitas Auferida por Detentores de Titulos do Tesouro Nacional Resgatados</t>
  </si>
  <si>
    <t xml:space="preserve">           Receitas da Alienacao de Certificados de Potencial Adicional de Construção - CEPAC</t>
  </si>
  <si>
    <t xml:space="preserve">           Receitas de Capital Diversas</t>
  </si>
  <si>
    <t>♠</t>
  </si>
  <si>
    <t>RECEITAS (INTRA-ORÇAMENTÁRIAS) (II)    Linha 126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</si>
  <si>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</si>
  <si>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</si>
  <si>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</si>
  <si>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</si>
  <si>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</si>
  <si>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</si>
  <si>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</si>
  <si>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</si>
  <si>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</si>
  <si>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</si>
  <si>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Recursos Arrecadados em Exercícios Anteriores - RPPS</t>
  </si>
  <si>
    <t xml:space="preserve">    Superávit Financeiro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</si>
  <si>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</si>
  <si>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</si>
  <si>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</si>
  <si>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</si>
  <si>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</si>
  <si>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</si>
  <si>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</si>
  <si>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</si>
  <si>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</si>
  <si>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</si>
  <si>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</si>
  <si>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</si>
  <si>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</si>
  <si>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</si>
  <si>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</si>
  <si>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</si>
  <si>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</si>
  <si>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</si>
  <si>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</si>
  <si>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</si>
  <si>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</si>
  <si>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</si>
  <si>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</si>
  <si>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</si>
  <si>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</si>
  <si>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</si>
  <si>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</si>
  <si>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</si>
  <si>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</si>
  <si>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</si>
  <si>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</si>
  <si>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</si>
  <si>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</si>
  <si>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</si>
  <si>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</si>
  <si>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</si>
  <si>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</si>
  <si>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</si>
  <si>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</si>
  <si>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</si>
  <si>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</si>
  <si>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   Outras Receitas Industriais</t>
  </si>
  <si>
    <t xml:space="preserve">           Dív. Atv. Prov. da Amortiz. de Emp. e Financ.       </t>
  </si>
  <si>
    <t xml:space="preserve">           Outras Receitas de Capital</t>
  </si>
  <si>
    <t>DESPESAS INTRA-ORÇAMENTÁRIAS</t>
  </si>
  <si>
    <t>INSCRITAS EM RESTOS A PAGAR NÃO PROCESSADOS</t>
  </si>
  <si>
    <t>Até o 
Bimestre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</si>
  <si>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</si>
  <si>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</si>
  <si>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</si>
  <si>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</si>
  <si>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</si>
  <si>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</si>
  <si>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</si>
  <si>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</si>
  <si>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</si>
  <si>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</si>
  <si>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</si>
  <si>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</si>
  <si>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</si>
  <si>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</si>
  <si>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</si>
  <si>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</si>
  <si>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</si>
  <si>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</si>
  <si>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</si>
  <si>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</si>
  <si>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</si>
  <si>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</si>
  <si>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</si>
  <si>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</si>
  <si>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</si>
  <si>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</si>
  <si>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</si>
  <si>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</si>
  <si>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</si>
  <si>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</si>
  <si>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</si>
  <si>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</si>
  <si>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</si>
  <si>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</si>
  <si>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</si>
  <si>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</si>
  <si>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</si>
  <si>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</si>
  <si>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</si>
  <si>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</si>
  <si>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</si>
  <si>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</si>
  <si>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</si>
  <si>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</si>
  <si>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</si>
  <si>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</si>
  <si>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</si>
  <si>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</si>
  <si>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</si>
  <si>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</si>
  <si>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</si>
  <si>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</si>
  <si>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</si>
  <si>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</si>
  <si>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</si>
  <si>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</si>
  <si>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</si>
  <si>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</si>
  <si>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</si>
  <si>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</si>
  <si>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</si>
  <si>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</si>
  <si>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</si>
  <si>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</si>
  <si>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</si>
  <si>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</si>
  <si>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</si>
  <si>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</si>
  <si>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</si>
  <si>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</si>
  <si>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</si>
  <si>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</si>
  <si>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</si>
  <si>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</si>
  <si>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</si>
  <si>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</si>
  <si>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</si>
  <si>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</si>
  <si>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</si>
  <si>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</si>
  <si>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</si>
  <si>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</si>
  <si>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</si>
  <si>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</si>
  <si>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</si>
  <si>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</si>
  <si>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</si>
  <si>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</si>
  <si>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</si>
  <si>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</si>
  <si>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</si>
  <si>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</si>
  <si>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</si>
  <si>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</si>
  <si>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</si>
  <si>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</si>
  <si>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</si>
  <si>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</si>
  <si>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</si>
  <si>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</si>
  <si>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</si>
  <si>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</si>
  <si>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</si>
  <si>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</si>
  <si>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</si>
  <si>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</si>
  <si>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</si>
  <si>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</si>
  <si>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</si>
  <si>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</si>
  <si>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</si>
  <si>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</si>
  <si>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</si>
  <si>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</si>
  <si>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</si>
  <si>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</si>
  <si>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</si>
  <si>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</si>
  <si>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</si>
  <si>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</si>
  <si>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</si>
  <si>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</si>
  <si>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</si>
  <si>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</si>
  <si>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</si>
  <si>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</si>
  <si>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</si>
  <si>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</si>
  <si>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</si>
  <si>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</si>
  <si>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</si>
  <si>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</si>
  <si>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</si>
  <si>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</si>
  <si>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</si>
  <si>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</si>
  <si>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</si>
  <si>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</si>
  <si>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</si>
  <si>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</si>
  <si>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</si>
  <si>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</si>
  <si>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</si>
  <si>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</si>
  <si>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</si>
  <si>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</si>
  <si>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</si>
  <si>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</si>
  <si>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Outras 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</si>
  <si>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</si>
  <si>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</si>
  <si>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</si>
  <si>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</si>
  <si>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</si>
  <si>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</si>
  <si>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Fev</t>
  </si>
  <si>
    <t>Jan</t>
  </si>
  <si>
    <t>Dez</t>
  </si>
  <si>
    <t>Abr</t>
  </si>
  <si>
    <t>Mar</t>
  </si>
  <si>
    <t>Jun</t>
  </si>
  <si>
    <t>Mai</t>
  </si>
  <si>
    <t>Ago</t>
  </si>
  <si>
    <t>Jul</t>
  </si>
  <si>
    <t>DEMONSTRATIVO DA RECEITA CORRENTE LÍQUIDA</t>
  </si>
  <si>
    <t>Out</t>
  </si>
  <si>
    <t>Set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</si>
  <si>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</si>
  <si>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</si>
  <si>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</si>
  <si>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</si>
  <si>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</si>
  <si>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</si>
  <si>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Receita Tributária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</si>
  <si>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</si>
  <si>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</si>
  <si>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</si>
  <si>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</si>
  <si>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Outras Receitas Tributárias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</si>
  <si>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</si>
  <si>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</si>
  <si>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</si>
  <si>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</si>
  <si>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</si>
  <si>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</si>
  <si>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</si>
  <si>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</si>
  <si>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</si>
  <si>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</si>
  <si>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</si>
  <si>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</si>
  <si>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</si>
  <si>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</si>
  <si>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</si>
  <si>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</si>
  <si>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</si>
  <si>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</si>
  <si>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</si>
  <si>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</si>
  <si>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</si>
  <si>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</si>
  <si>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</si>
  <si>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</si>
  <si>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</si>
  <si>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</si>
  <si>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</si>
  <si>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</si>
  <si>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</si>
  <si>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</si>
  <si>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</si>
  <si>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</si>
  <si>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</si>
  <si>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</si>
  <si>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</si>
  <si>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</si>
  <si>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</si>
  <si>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</si>
  <si>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</si>
  <si>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</si>
  <si>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</si>
  <si>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</si>
  <si>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</si>
  <si>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RECEITAS DE CAPITAL (II)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</si>
  <si>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</si>
  <si>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</si>
  <si>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</si>
  <si>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(III) = (I + II)</t>
  </si>
  <si>
    <t>DESPESAS PREVIDENCIÁRIAS - RPPS</t>
  </si>
  <si>
    <t xml:space="preserve"> Em</t>
  </si>
  <si>
    <t xml:space="preserve">    ADMINISTRAÇÃO (IV)</t>
  </si>
  <si>
    <t xml:space="preserve">        Despesas Correntes</t>
  </si>
  <si>
    <t xml:space="preserve">        Despesas de Capital</t>
  </si>
  <si>
    <t xml:space="preserve">    PREVIDÊNCIA (V)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</si>
  <si>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</si>
  <si>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</si>
  <si>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</si>
  <si>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</si>
  <si>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</si>
  <si>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</si>
  <si>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</si>
  <si>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</si>
  <si>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</si>
  <si>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(VI) = (IV + V)</t>
  </si>
  <si>
    <t>RESULTADO PREVIDENCIÁRIO (VII) = (III – VI)</t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</si>
  <si>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</si>
  <si>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</si>
  <si>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</si>
  <si>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</si>
  <si>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</si>
  <si>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</si>
  <si>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</si>
  <si>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</si>
  <si>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</si>
  <si>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</si>
  <si>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</si>
  <si>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</si>
  <si>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</si>
  <si>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</si>
  <si>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</si>
  <si>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</si>
  <si>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</si>
  <si>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(VIII)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</si>
  <si>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</si>
  <si>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</si>
  <si>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</si>
  <si>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</si>
  <si>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</si>
  <si>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</si>
  <si>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</si>
  <si>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</si>
  <si>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</si>
  <si>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</si>
  <si>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</si>
  <si>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    Compensação Previdenciária do RGPS para o RPPS</t>
  </si>
  <si>
    <t xml:space="preserve">        Demais Receitas Correntes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</si>
  <si>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</si>
  <si>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</si>
  <si>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</si>
  <si>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</si>
  <si>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INTRA-ORÇAMENTÁRIAS
(X) = (VIII + IX)</t>
  </si>
  <si>
    <t>ADMINISTRAÇÃO (XI)</t>
  </si>
  <si>
    <t xml:space="preserve">    Despesas Correntes</t>
  </si>
  <si>
    <t xml:space="preserve">    Despesas de Capital</t>
  </si>
  <si>
    <t>PREVIDÊNCIA (XII)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</si>
  <si>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</si>
  <si>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</si>
  <si>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</si>
  <si>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</si>
  <si>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</si>
  <si>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</si>
  <si>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</si>
  <si>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</si>
  <si>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(XIII) = (XI + XII)</t>
  </si>
  <si>
    <t>RESULTADO PREVIDENCIÁRIO (XIV) = (X – XIII)</t>
  </si>
  <si>
    <t>APORTES DE RECURSOS PARA O PLANO FINANCEIRO DO RPPS</t>
  </si>
  <si>
    <t>Recursos para Cobertura de Insuficiências Financeiras</t>
  </si>
  <si>
    <t>Recursos para a Formação de Reserva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</si>
  <si>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</si>
  <si>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</si>
  <si>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</si>
  <si>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</si>
  <si>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</si>
  <si>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</si>
  <si>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</si>
  <si>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</si>
  <si>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</si>
  <si>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</si>
  <si>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</si>
  <si>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</si>
  <si>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</si>
  <si>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</si>
  <si>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</si>
  <si>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</si>
  <si>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</si>
  <si>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</si>
  <si>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</si>
  <si>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</si>
  <si>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</si>
  <si>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</si>
  <si>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</si>
  <si>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</si>
  <si>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</si>
  <si>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</si>
  <si>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</si>
  <si>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</si>
  <si>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</si>
  <si>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</si>
  <si>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</si>
  <si>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    Outras Receitas de Contribuições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</si>
  <si>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</si>
  <si>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</si>
  <si>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</si>
  <si>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</si>
  <si>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</si>
  <si>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</si>
  <si>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</si>
  <si>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</si>
  <si>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</si>
  <si>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</si>
  <si>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</si>
  <si>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</si>
  <si>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</si>
  <si>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</si>
  <si>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</si>
  <si>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</si>
  <si>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</si>
  <si>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</si>
  <si>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</si>
  <si>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</si>
  <si>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</si>
  <si>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</si>
  <si>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</si>
  <si>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</si>
  <si>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</si>
  <si>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Investimentos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</si>
  <si>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</si>
  <si>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</si>
  <si>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</si>
  <si>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</si>
  <si>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</si>
  <si>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</si>
  <si>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</si>
  <si>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</si>
  <si>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</si>
  <si>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</si>
  <si>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</si>
  <si>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</si>
  <si>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</si>
  <si>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</si>
  <si>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</si>
  <si>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</si>
  <si>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</si>
  <si>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</si>
  <si>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>Saldo Total (a+b)</t>
  </si>
  <si>
    <t>Inscritos</t>
  </si>
  <si>
    <t>Pagos</t>
  </si>
  <si>
    <t>Cancelados</t>
  </si>
  <si>
    <t>Saldo</t>
  </si>
  <si>
    <t>Liquidados</t>
  </si>
  <si>
    <t>Em Exercícios Anteriores</t>
  </si>
  <si>
    <t>Em 31 de dezembro de</t>
  </si>
  <si>
    <t>RESTOS A PAGAR (EXCETO INTRA-ORÇAMENTÁRIOS) (I)</t>
  </si>
  <si>
    <t xml:space="preserve">    Poder Executivo Municipal</t>
  </si>
  <si>
    <t xml:space="preserve">    Poder Legislativo Municipal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</si>
  <si>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</si>
  <si>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</si>
  <si>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</si>
  <si>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</si>
  <si>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</si>
  <si>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</si>
  <si>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</si>
  <si>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</si>
  <si>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</si>
  <si>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</si>
  <si>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</si>
  <si>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</si>
  <si>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</si>
  <si>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</si>
  <si>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</si>
  <si>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</si>
  <si>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</si>
  <si>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</si>
  <si>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</si>
  <si>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</si>
  <si>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r>
      <rPr>
        <sz val="10"/>
        <rFont val="Times New Roman"/>
        <family val="1"/>
      </rP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</si>
  <si>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</si>
  <si>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</si>
  <si>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r>
      <rPr>
        <sz val="10"/>
        <color indexed="8"/>
        <rFont val="Times New Roman"/>
        <family val="1"/>
      </rPr>
      <t xml:space="preserve">        1.5.2- </t>
    </r>
    <r>
      <rPr>
        <sz val="10"/>
        <rFont val="Times New Roman"/>
        <family val="1"/>
      </rPr>
      <t>Multas, Juros de Mora, Dívida Ativa e Outros Encargos do ITR</t>
    </r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</si>
  <si>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</si>
  <si>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</si>
  <si>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</si>
  <si>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</si>
  <si>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</si>
  <si>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</si>
  <si>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</si>
  <si>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</si>
  <si>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</si>
  <si>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</si>
  <si>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</si>
  <si>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</si>
  <si>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</si>
  <si>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</si>
  <si>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</si>
  <si>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</si>
  <si>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</si>
  <si>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</si>
  <si>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</si>
  <si>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</si>
  <si>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</si>
  <si>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</si>
  <si>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</si>
  <si>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</si>
  <si>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</si>
  <si>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</si>
  <si>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</si>
  <si>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</si>
  <si>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</si>
  <si>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</si>
  <si>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</si>
  <si>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</si>
  <si>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</si>
  <si>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</si>
  <si>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</si>
  <si>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</si>
  <si>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</si>
  <si>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</si>
  <si>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</si>
  <si>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</si>
  <si>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</si>
  <si>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</si>
  <si>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</si>
  <si>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</si>
  <si>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</si>
  <si>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</si>
  <si>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(g)</t>
  </si>
  <si>
    <t>(h) = (g/d)x100</t>
  </si>
  <si>
    <t>(i)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</si>
  <si>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</si>
  <si>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</si>
  <si>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</si>
  <si>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</si>
  <si>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</si>
  <si>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</si>
  <si>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</si>
  <si>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</si>
  <si>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</si>
  <si>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</si>
  <si>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</si>
  <si>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</si>
  <si>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</si>
  <si>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</si>
  <si>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</si>
  <si>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</si>
  <si>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</si>
  <si>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</si>
  <si>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</si>
  <si>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</si>
  <si>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SUBSEQÜENTE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</si>
  <si>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</si>
  <si>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</si>
  <si>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</si>
  <si>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</si>
  <si>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</si>
  <si>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</si>
  <si>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</si>
  <si>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</si>
  <si>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</si>
  <si>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</si>
  <si>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</si>
  <si>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</si>
  <si>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</si>
  <si>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</si>
  <si>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</si>
  <si>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</si>
  <si>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</si>
  <si>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</si>
  <si>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</si>
  <si>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</si>
  <si>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</si>
  <si>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31- RECEITA DE APLICAÇÃO FINANCEIRA DOS RECURSOS DO FUNDEB ATÉ O BIMESTRE = (49)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</si>
  <si>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</si>
  <si>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</si>
  <si>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</si>
  <si>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</si>
  <si>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</si>
  <si>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</si>
  <si>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</si>
  <si>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</si>
  <si>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</si>
  <si>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</si>
  <si>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</si>
  <si>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</si>
  <si>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</si>
  <si>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</si>
  <si>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</si>
  <si>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</si>
  <si>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</si>
  <si>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</si>
  <si>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</si>
  <si>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</si>
  <si>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</si>
  <si>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</si>
  <si>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</si>
  <si>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</si>
  <si>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</si>
  <si>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</si>
  <si>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</si>
  <si>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</si>
  <si>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</si>
  <si>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</si>
  <si>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</si>
  <si>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</si>
  <si>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</si>
  <si>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</si>
  <si>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</si>
  <si>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</si>
  <si>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</si>
  <si>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</si>
  <si>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</si>
  <si>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</si>
  <si>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</si>
  <si>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</si>
  <si>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</si>
  <si>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</si>
  <si>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</si>
  <si>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</si>
  <si>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</si>
  <si>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</si>
  <si>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</si>
  <si>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</si>
  <si>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</si>
  <si>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</si>
  <si>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</si>
  <si>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</si>
  <si>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</si>
  <si>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</si>
  <si>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</si>
  <si>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</si>
  <si>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</si>
  <si>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</si>
  <si>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</si>
  <si>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</si>
  <si>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</si>
  <si>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</si>
  <si>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</si>
  <si>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</si>
  <si>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</si>
  <si>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</si>
  <si>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</si>
  <si>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</si>
  <si>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</si>
  <si>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</si>
  <si>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</si>
  <si>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</si>
  <si>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</si>
  <si>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</si>
  <si>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</si>
  <si>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</si>
  <si>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</si>
  <si>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</si>
  <si>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</si>
  <si>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</si>
  <si>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</si>
  <si>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</si>
  <si>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</si>
  <si>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</si>
  <si>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</si>
  <si>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</si>
  <si>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</si>
  <si>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</si>
  <si>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</si>
  <si>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</si>
  <si>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</si>
  <si>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</si>
  <si>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</si>
  <si>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</si>
  <si>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</si>
  <si>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</si>
  <si>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</si>
  <si>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</si>
  <si>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</si>
  <si>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</si>
  <si>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</si>
  <si>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</si>
  <si>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</si>
  <si>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</si>
  <si>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</si>
  <si>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</si>
  <si>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</si>
  <si>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</si>
  <si>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</si>
  <si>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</si>
  <si>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</si>
  <si>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</si>
  <si>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</si>
  <si>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</si>
  <si>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</si>
  <si>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</si>
  <si>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</si>
  <si>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</si>
  <si>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</si>
  <si>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</si>
  <si>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</si>
  <si>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</si>
  <si>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</si>
  <si>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</si>
  <si>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</si>
  <si>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</si>
  <si>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</si>
  <si>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</si>
  <si>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</si>
  <si>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</si>
  <si>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</si>
  <si>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</si>
  <si>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</si>
  <si>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</si>
  <si>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</si>
  <si>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</si>
  <si>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</si>
  <si>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</si>
  <si>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</si>
  <si>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</si>
  <si>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</si>
  <si>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</si>
  <si>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</si>
  <si>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</si>
  <si>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</si>
  <si>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</si>
  <si>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</si>
  <si>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</si>
  <si>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</si>
  <si>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</si>
  <si>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</si>
  <si>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</si>
  <si>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</si>
  <si>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</si>
  <si>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</si>
  <si>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</si>
  <si>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</si>
  <si>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</si>
  <si>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</si>
  <si>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</si>
  <si>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</si>
  <si>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</si>
  <si>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</si>
  <si>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</si>
  <si>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</si>
  <si>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</si>
  <si>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</si>
  <si>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</si>
  <si>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</si>
  <si>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</si>
  <si>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</si>
  <si>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</si>
  <si>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</si>
  <si>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</si>
  <si>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</si>
  <si>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</si>
  <si>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</si>
  <si>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</si>
  <si>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</si>
  <si>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</si>
  <si>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</si>
  <si>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</si>
  <si>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</si>
  <si>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</si>
  <si>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</si>
  <si>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</si>
  <si>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</si>
  <si>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</si>
  <si>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</si>
  <si>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</si>
  <si>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</si>
  <si>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</si>
  <si>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</si>
  <si>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</si>
  <si>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</si>
  <si>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</si>
  <si>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</si>
  <si>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</si>
  <si>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</si>
  <si>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</si>
  <si>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</si>
  <si>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</si>
  <si>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</si>
  <si>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</si>
  <si>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</si>
  <si>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</si>
  <si>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</si>
  <si>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</si>
  <si>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</si>
  <si>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</si>
  <si>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</si>
  <si>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</si>
  <si>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</si>
  <si>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</si>
  <si>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</si>
  <si>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</si>
  <si>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</si>
  <si>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</si>
  <si>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</si>
  <si>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</si>
  <si>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</si>
  <si>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</si>
  <si>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</si>
  <si>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</si>
  <si>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</si>
  <si>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</si>
  <si>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</si>
  <si>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</si>
  <si>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</si>
  <si>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</si>
  <si>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</si>
  <si>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</si>
  <si>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</si>
  <si>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</si>
  <si>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</si>
  <si>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</si>
  <si>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</si>
  <si>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</si>
  <si>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</si>
  <si>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</si>
  <si>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</si>
  <si>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</si>
  <si>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</si>
  <si>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</si>
  <si>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</si>
  <si>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</si>
  <si>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</si>
  <si>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</si>
  <si>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</si>
  <si>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</si>
  <si>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</si>
  <si>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</si>
  <si>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</si>
  <si>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</si>
  <si>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</si>
  <si>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</si>
  <si>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</si>
  <si>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</si>
  <si>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</si>
  <si>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</si>
  <si>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</si>
  <si>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</si>
  <si>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</si>
  <si>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</si>
  <si>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</si>
  <si>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</si>
  <si>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</si>
  <si>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Garantias Concedidas</t>
  </si>
  <si>
    <t>EXERCÍCIO ANTERIOR</t>
  </si>
  <si>
    <t>EXERCÍCIO CORRENTE</t>
  </si>
  <si>
    <t>DESPESAS DE PPP</t>
  </si>
  <si>
    <t>Do Ente Federado, Exceto Estatais Não Dependentes (I)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</si>
  <si>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</si>
  <si>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</si>
  <si>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</si>
  <si>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</si>
  <si>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</si>
  <si>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</si>
  <si>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Nota: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</si>
  <si>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</si>
  <si>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</si>
  <si>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</si>
  <si>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</si>
  <si>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</si>
  <si>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</si>
  <si>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</si>
  <si>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</si>
  <si>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</si>
  <si>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</si>
  <si>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</si>
  <si>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</si>
  <si>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</si>
  <si>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</si>
  <si>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</si>
  <si>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</si>
  <si>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</si>
  <si>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</si>
  <si>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</si>
  <si>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</si>
  <si>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</si>
  <si>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</si>
  <si>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</si>
  <si>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</si>
  <si>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</si>
  <si>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</si>
  <si>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</si>
  <si>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</si>
  <si>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</si>
  <si>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</si>
  <si>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</si>
  <si>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</si>
  <si>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</si>
  <si>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</si>
  <si>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</si>
  <si>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</si>
  <si>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</si>
  <si>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</si>
  <si>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</si>
  <si>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</si>
  <si>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</si>
  <si>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</si>
  <si>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</si>
  <si>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</si>
  <si>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</si>
  <si>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</si>
  <si>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</si>
  <si>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</si>
  <si>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</si>
  <si>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</si>
  <si>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</si>
  <si>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</si>
  <si>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</si>
  <si>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</si>
  <si>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</si>
  <si>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</si>
  <si>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</si>
  <si>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</si>
  <si>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</si>
  <si>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</si>
  <si>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</si>
  <si>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</si>
  <si>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</si>
  <si>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</si>
  <si>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</si>
  <si>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</si>
  <si>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</si>
  <si>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</si>
  <si>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</si>
  <si>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</si>
  <si>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</si>
  <si>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</si>
  <si>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</si>
  <si>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</si>
  <si>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</si>
  <si>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</si>
  <si>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</si>
  <si>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</si>
  <si>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</si>
  <si>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</si>
  <si>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</si>
  <si>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</si>
  <si>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</si>
  <si>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</si>
  <si>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</si>
  <si>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</si>
  <si>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</si>
  <si>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252.222.953-20</t>
  </si>
  <si>
    <t>GUSTAVO SILVA DE FRANÇA</t>
  </si>
  <si>
    <t>CRC.013563/O-6</t>
  </si>
  <si>
    <t>www.davinopolis.ma.gov.br</t>
  </si>
  <si>
    <t>RUA ADALIA S/N</t>
  </si>
  <si>
    <t>(99)3534-1790</t>
  </si>
  <si>
    <t>MURAL DA PREFEITURA E PORTAL TRANSPARENCIA</t>
  </si>
  <si>
    <t>ESTADO DO MARANHÃO - PREFEITURA MUNICIPAL DE DAVINOPOLIS</t>
  </si>
  <si>
    <t>CNPJ.01.616.269/0001-60</t>
  </si>
  <si>
    <t>2017/2020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</si>
</sst>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-* #,##0.00_-;\-* #,##0.00_-;_-* \-??_-;_-@_-"/>
    <numFmt numFmtId="166" formatCode="#,##0.0_);\(#,##0.0\)"/>
    <numFmt numFmtId="167" formatCode="&quot;R$ &quot;#,##0.00_);[Red]&quot;(R$ &quot;#,##0.00\)"/>
  </numFmts>
  <fonts count="7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8"/>
      <color indexed="9"/>
      <name val="Cambria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b/>
      <sz val="11"/>
      <name val="Times New Roman"/>
      <family val="1"/>
    </font>
    <font>
      <strike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8"/>
      <color indexed="53"/>
      <name val="Cambria"/>
      <family val="1"/>
    </font>
    <font>
      <b/>
      <sz val="8"/>
      <color indexed="30"/>
      <name val="Cambria"/>
      <family val="1"/>
    </font>
    <font>
      <b/>
      <sz val="12"/>
      <color indexed="8"/>
      <name val="Times New Roman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16"/>
      <color indexed="12"/>
      <name val="Arial"/>
      <family val="2"/>
    </font>
    <font>
      <sz val="8"/>
      <color indexed="10"/>
      <name val="Times New Roman"/>
      <family val="1"/>
    </font>
    <font>
      <strike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1" fillId="0" borderId="0"/>
    <xf numFmtId="0" fontId="71" fillId="0" borderId="0"/>
    <xf numFmtId="0" fontId="4" fillId="8" borderId="1" applyNumberFormat="0" applyAlignment="0" applyProtection="0"/>
    <xf numFmtId="9" fontId="71" fillId="0" borderId="0" applyFill="0" applyBorder="0" applyAlignment="0" applyProtection="0"/>
    <xf numFmtId="164" fontId="71" fillId="0" borderId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5" fontId="71" fillId="0" borderId="0" applyFill="0" applyBorder="0" applyAlignment="0" applyProtection="0"/>
    <xf numFmtId="164" fontId="7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39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21" fillId="9" borderId="2" xfId="13" applyFont="1" applyFill="1" applyBorder="1" applyAlignment="1" applyProtection="1">
      <alignment horizontal="center" vertical="center"/>
    </xf>
    <xf numFmtId="0" fontId="71" fillId="9" borderId="3" xfId="13" applyFill="1" applyBorder="1" applyAlignment="1" applyProtection="1">
      <alignment vertical="center"/>
    </xf>
    <xf numFmtId="0" fontId="0" fillId="0" borderId="4" xfId="13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0" fillId="10" borderId="4" xfId="13" applyFont="1" applyFill="1" applyBorder="1" applyAlignment="1" applyProtection="1">
      <alignment horizontal="left" vertical="center"/>
    </xf>
    <xf numFmtId="0" fontId="22" fillId="10" borderId="4" xfId="13" applyFont="1" applyFill="1" applyBorder="1" applyAlignment="1" applyProtection="1">
      <alignment horizontal="left" vertical="center" wrapText="1"/>
    </xf>
    <xf numFmtId="0" fontId="24" fillId="2" borderId="4" xfId="13" applyFont="1" applyFill="1" applyBorder="1" applyAlignment="1" applyProtection="1">
      <alignment horizontal="left" vertical="center"/>
    </xf>
    <xf numFmtId="0" fontId="0" fillId="0" borderId="4" xfId="13" applyFont="1" applyBorder="1" applyAlignment="1" applyProtection="1">
      <alignment horizontal="left" vertical="center" wrapText="1"/>
    </xf>
    <xf numFmtId="0" fontId="0" fillId="10" borderId="5" xfId="13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25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165" fontId="25" fillId="0" borderId="0" xfId="20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/>
    <xf numFmtId="166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Alignment="1" applyProtection="1"/>
    <xf numFmtId="49" fontId="26" fillId="11" borderId="6" xfId="0" applyNumberFormat="1" applyFont="1" applyFill="1" applyBorder="1" applyAlignment="1" applyProtection="1">
      <alignment horizontal="center"/>
    </xf>
    <xf numFmtId="166" fontId="26" fillId="11" borderId="7" xfId="0" applyNumberFormat="1" applyFont="1" applyFill="1" applyBorder="1" applyAlignment="1" applyProtection="1">
      <alignment horizontal="center"/>
    </xf>
    <xf numFmtId="49" fontId="26" fillId="11" borderId="7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6" fontId="26" fillId="11" borderId="9" xfId="0" applyNumberFormat="1" applyFont="1" applyFill="1" applyBorder="1" applyAlignment="1" applyProtection="1">
      <alignment horizontal="center"/>
    </xf>
    <xf numFmtId="49" fontId="26" fillId="11" borderId="9" xfId="0" applyNumberFormat="1" applyFont="1" applyFill="1" applyBorder="1" applyAlignment="1" applyProtection="1">
      <alignment horizontal="center"/>
    </xf>
    <xf numFmtId="0" fontId="25" fillId="11" borderId="4" xfId="0" applyFont="1" applyFill="1" applyBorder="1" applyAlignment="1" applyProtection="1">
      <alignment wrapText="1"/>
    </xf>
    <xf numFmtId="10" fontId="25" fillId="11" borderId="10" xfId="16" applyNumberFormat="1" applyFont="1" applyFill="1" applyBorder="1" applyAlignment="1" applyProtection="1"/>
    <xf numFmtId="165" fontId="25" fillId="11" borderId="11" xfId="20" applyFont="1" applyFill="1" applyBorder="1" applyAlignment="1" applyProtection="1"/>
    <xf numFmtId="49" fontId="25" fillId="7" borderId="4" xfId="0" applyNumberFormat="1" applyFont="1" applyFill="1" applyBorder="1" applyAlignment="1" applyProtection="1"/>
    <xf numFmtId="10" fontId="25" fillId="7" borderId="7" xfId="16" applyNumberFormat="1" applyFont="1" applyFill="1" applyBorder="1" applyAlignment="1" applyProtection="1"/>
    <xf numFmtId="165" fontId="25" fillId="7" borderId="6" xfId="20" applyFont="1" applyFill="1" applyBorder="1" applyAlignment="1" applyProtection="1"/>
    <xf numFmtId="49" fontId="25" fillId="8" borderId="4" xfId="0" applyNumberFormat="1" applyFont="1" applyFill="1" applyBorder="1" applyAlignment="1" applyProtection="1"/>
    <xf numFmtId="10" fontId="25" fillId="8" borderId="6" xfId="16" applyNumberFormat="1" applyFont="1" applyFill="1" applyBorder="1" applyAlignment="1" applyProtection="1"/>
    <xf numFmtId="165" fontId="25" fillId="8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/>
    <xf numFmtId="10" fontId="25" fillId="0" borderId="6" xfId="16" applyNumberFormat="1" applyFont="1" applyFill="1" applyBorder="1" applyAlignment="1" applyProtection="1"/>
    <xf numFmtId="165" fontId="25" fillId="0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>
      <alignment vertical="center" wrapText="1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0" fontId="25" fillId="0" borderId="6" xfId="16" applyNumberFormat="1" applyFont="1" applyFill="1" applyBorder="1" applyAlignment="1" applyProtection="1">
      <alignment vertical="center"/>
    </xf>
    <xf numFmtId="165" fontId="25" fillId="0" borderId="6" xfId="20" applyFont="1" applyFill="1" applyBorder="1" applyAlignment="1" applyProtection="1">
      <alignment vertical="center"/>
    </xf>
    <xf numFmtId="49" fontId="25" fillId="0" borderId="4" xfId="0" applyNumberFormat="1" applyFont="1" applyFill="1" applyBorder="1" applyAlignment="1" applyProtection="1">
      <alignment wrapText="1"/>
    </xf>
    <xf numFmtId="49" fontId="25" fillId="0" borderId="4" xfId="0" applyNumberFormat="1" applyFont="1" applyFill="1" applyBorder="1" applyAlignment="1" applyProtection="1">
      <alignment horizontal="left" indent="2"/>
    </xf>
    <xf numFmtId="0" fontId="28" fillId="0" borderId="0" xfId="0" applyFont="1" applyFill="1" applyBorder="1" applyProtection="1"/>
    <xf numFmtId="0" fontId="28" fillId="0" borderId="4" xfId="0" applyFont="1" applyFill="1" applyBorder="1" applyAlignment="1" applyProtection="1">
      <alignment horizontal="justify" vertical="top" wrapText="1"/>
    </xf>
    <xf numFmtId="0" fontId="25" fillId="0" borderId="4" xfId="0" applyFont="1" applyFill="1" applyBorder="1" applyAlignment="1" applyProtection="1">
      <alignment horizontal="justify" vertical="top" wrapText="1"/>
    </xf>
    <xf numFmtId="165" fontId="25" fillId="11" borderId="7" xfId="20" applyFont="1" applyFill="1" applyBorder="1" applyAlignment="1" applyProtection="1">
      <alignment horizontal="center"/>
      <protection locked="0"/>
    </xf>
    <xf numFmtId="165" fontId="25" fillId="11" borderId="4" xfId="20" applyFont="1" applyFill="1" applyBorder="1" applyAlignment="1" applyProtection="1">
      <alignment horizontal="center"/>
      <protection locked="0"/>
    </xf>
    <xf numFmtId="0" fontId="28" fillId="11" borderId="5" xfId="0" applyFont="1" applyFill="1" applyBorder="1" applyAlignment="1" applyProtection="1">
      <alignment horizontal="justify" vertical="top" wrapText="1"/>
    </xf>
    <xf numFmtId="10" fontId="25" fillId="11" borderId="6" xfId="16" applyNumberFormat="1" applyFont="1" applyFill="1" applyBorder="1" applyAlignment="1" applyProtection="1"/>
    <xf numFmtId="165" fontId="25" fillId="11" borderId="6" xfId="20" applyFont="1" applyFill="1" applyBorder="1" applyAlignment="1" applyProtection="1"/>
    <xf numFmtId="49" fontId="25" fillId="0" borderId="2" xfId="0" applyNumberFormat="1" applyFont="1" applyFill="1" applyBorder="1" applyAlignment="1" applyProtection="1"/>
    <xf numFmtId="37" fontId="25" fillId="12" borderId="12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/>
    <xf numFmtId="0" fontId="25" fillId="11" borderId="13" xfId="0" applyNumberFormat="1" applyFont="1" applyFill="1" applyBorder="1" applyAlignment="1" applyProtection="1">
      <alignment wrapText="1"/>
    </xf>
    <xf numFmtId="165" fontId="25" fillId="11" borderId="6" xfId="20" applyFont="1" applyFill="1" applyBorder="1" applyAlignment="1" applyProtection="1">
      <alignment horizontal="center"/>
    </xf>
    <xf numFmtId="10" fontId="25" fillId="7" borderId="6" xfId="16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/>
    </xf>
    <xf numFmtId="49" fontId="25" fillId="0" borderId="3" xfId="0" applyNumberFormat="1" applyFont="1" applyFill="1" applyBorder="1" applyAlignment="1" applyProtection="1"/>
    <xf numFmtId="165" fontId="25" fillId="12" borderId="12" xfId="20" applyFont="1" applyFill="1" applyBorder="1" applyAlignment="1" applyProtection="1">
      <alignment horizontal="center"/>
    </xf>
    <xf numFmtId="49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/>
    <xf numFmtId="49" fontId="25" fillId="0" borderId="3" xfId="0" applyNumberFormat="1" applyFont="1" applyFill="1" applyBorder="1" applyAlignment="1" applyProtection="1">
      <alignment wrapText="1"/>
    </xf>
    <xf numFmtId="0" fontId="25" fillId="0" borderId="3" xfId="0" applyFont="1" applyBorder="1" applyAlignment="1" applyProtection="1">
      <alignment horizontal="left"/>
    </xf>
    <xf numFmtId="0" fontId="26" fillId="11" borderId="14" xfId="0" applyNumberFormat="1" applyFont="1" applyFill="1" applyBorder="1" applyAlignment="1" applyProtection="1"/>
    <xf numFmtId="0" fontId="26" fillId="11" borderId="10" xfId="0" applyNumberFormat="1" applyFont="1" applyFill="1" applyBorder="1" applyAlignment="1" applyProtection="1">
      <alignment horizontal="center"/>
    </xf>
    <xf numFmtId="0" fontId="27" fillId="11" borderId="0" xfId="0" applyNumberFormat="1" applyFont="1" applyFill="1" applyBorder="1" applyAlignment="1" applyProtection="1">
      <alignment horizontal="center"/>
    </xf>
    <xf numFmtId="0" fontId="26" fillId="11" borderId="7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6" fillId="11" borderId="15" xfId="0" applyNumberFormat="1" applyFont="1" applyFill="1" applyBorder="1" applyAlignment="1" applyProtection="1"/>
    <xf numFmtId="0" fontId="26" fillId="11" borderId="8" xfId="0" applyNumberFormat="1" applyFont="1" applyFill="1" applyBorder="1" applyAlignment="1" applyProtection="1">
      <alignment horizontal="center"/>
    </xf>
    <xf numFmtId="0" fontId="26" fillId="11" borderId="9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wrapText="1"/>
    </xf>
    <xf numFmtId="0" fontId="25" fillId="7" borderId="0" xfId="0" applyNumberFormat="1" applyFont="1" applyFill="1" applyBorder="1" applyAlignment="1" applyProtection="1"/>
    <xf numFmtId="0" fontId="25" fillId="8" borderId="0" xfId="0" applyNumberFormat="1" applyFont="1" applyFill="1" applyBorder="1" applyAlignment="1" applyProtection="1"/>
    <xf numFmtId="165" fontId="25" fillId="11" borderId="6" xfId="20" applyFont="1" applyFill="1" applyBorder="1" applyAlignment="1" applyProtection="1">
      <protection locked="0"/>
    </xf>
    <xf numFmtId="165" fontId="25" fillId="11" borderId="7" xfId="20" applyFont="1" applyFill="1" applyBorder="1" applyAlignment="1" applyProtection="1">
      <protection locked="0"/>
    </xf>
    <xf numFmtId="165" fontId="25" fillId="8" borderId="7" xfId="20" applyFont="1" applyFill="1" applyBorder="1" applyAlignment="1" applyProtection="1"/>
    <xf numFmtId="165" fontId="26" fillId="11" borderId="6" xfId="20" applyFont="1" applyFill="1" applyBorder="1" applyAlignment="1" applyProtection="1">
      <protection locked="0"/>
    </xf>
    <xf numFmtId="165" fontId="25" fillId="7" borderId="12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wrapText="1"/>
    </xf>
    <xf numFmtId="0" fontId="25" fillId="11" borderId="0" xfId="0" applyNumberFormat="1" applyFont="1" applyFill="1" applyBorder="1" applyAlignment="1" applyProtection="1"/>
    <xf numFmtId="165" fontId="25" fillId="11" borderId="7" xfId="20" applyFont="1" applyFill="1" applyBorder="1" applyAlignment="1" applyProtection="1"/>
    <xf numFmtId="0" fontId="25" fillId="0" borderId="3" xfId="0" applyNumberFormat="1" applyFont="1" applyFill="1" applyBorder="1" applyAlignment="1" applyProtection="1"/>
    <xf numFmtId="165" fontId="25" fillId="0" borderId="16" xfId="20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</xf>
    <xf numFmtId="0" fontId="25" fillId="7" borderId="13" xfId="0" applyNumberFormat="1" applyFont="1" applyFill="1" applyBorder="1" applyAlignment="1" applyProtection="1">
      <alignment wrapText="1"/>
    </xf>
    <xf numFmtId="165" fontId="25" fillId="7" borderId="10" xfId="20" applyFont="1" applyFill="1" applyBorder="1" applyAlignment="1" applyProtection="1"/>
    <xf numFmtId="165" fontId="25" fillId="0" borderId="7" xfId="20" applyFont="1" applyFill="1" applyBorder="1" applyAlignment="1" applyProtection="1">
      <alignment horizontal="center"/>
    </xf>
    <xf numFmtId="49" fontId="25" fillId="0" borderId="5" xfId="0" applyNumberFormat="1" applyFont="1" applyFill="1" applyBorder="1" applyAlignment="1" applyProtection="1"/>
    <xf numFmtId="0" fontId="25" fillId="0" borderId="15" xfId="0" applyNumberFormat="1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  <protection locked="0"/>
    </xf>
    <xf numFmtId="0" fontId="25" fillId="11" borderId="15" xfId="0" applyNumberFormat="1" applyFont="1" applyFill="1" applyBorder="1" applyAlignment="1" applyProtection="1"/>
    <xf numFmtId="165" fontId="25" fillId="11" borderId="9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wrapText="1"/>
    </xf>
    <xf numFmtId="165" fontId="25" fillId="11" borderId="16" xfId="20" applyNumberFormat="1" applyFont="1" applyFill="1" applyBorder="1" applyAlignment="1" applyProtection="1"/>
    <xf numFmtId="165" fontId="25" fillId="7" borderId="16" xfId="20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5" fillId="0" borderId="15" xfId="0" applyNumberFormat="1" applyFont="1" applyFill="1" applyBorder="1" applyAlignment="1" applyProtection="1"/>
    <xf numFmtId="49" fontId="26" fillId="11" borderId="13" xfId="0" applyNumberFormat="1" applyFont="1" applyFill="1" applyBorder="1" applyAlignment="1" applyProtection="1">
      <alignment wrapText="1"/>
    </xf>
    <xf numFmtId="49" fontId="26" fillId="11" borderId="11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Alignment="1" applyProtection="1">
      <alignment wrapText="1"/>
    </xf>
    <xf numFmtId="0" fontId="26" fillId="11" borderId="4" xfId="0" applyFont="1" applyFill="1" applyBorder="1" applyAlignment="1" applyProtection="1">
      <alignment horizontal="center"/>
    </xf>
    <xf numFmtId="0" fontId="26" fillId="11" borderId="5" xfId="0" applyFont="1" applyFill="1" applyBorder="1" applyAlignment="1" applyProtection="1"/>
    <xf numFmtId="49" fontId="26" fillId="11" borderId="9" xfId="0" applyNumberFormat="1" applyFont="1" applyFill="1" applyBorder="1" applyAlignment="1" applyProtection="1">
      <alignment vertical="center"/>
    </xf>
    <xf numFmtId="49" fontId="26" fillId="11" borderId="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vertical="center"/>
    </xf>
    <xf numFmtId="0" fontId="28" fillId="0" borderId="5" xfId="0" applyFont="1" applyFill="1" applyBorder="1" applyAlignment="1" applyProtection="1">
      <alignment horizontal="justify" vertical="top" wrapText="1"/>
    </xf>
    <xf numFmtId="10" fontId="25" fillId="0" borderId="8" xfId="16" applyNumberFormat="1" applyFont="1" applyFill="1" applyBorder="1" applyAlignment="1" applyProtection="1"/>
    <xf numFmtId="165" fontId="25" fillId="0" borderId="8" xfId="20" applyFont="1" applyFill="1" applyBorder="1" applyAlignment="1" applyProtection="1"/>
    <xf numFmtId="0" fontId="26" fillId="11" borderId="7" xfId="0" applyNumberFormat="1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/>
    </xf>
    <xf numFmtId="0" fontId="26" fillId="11" borderId="9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/>
    <xf numFmtId="0" fontId="25" fillId="8" borderId="4" xfId="0" applyNumberFormat="1" applyFont="1" applyFill="1" applyBorder="1" applyAlignment="1" applyProtection="1"/>
    <xf numFmtId="165" fontId="25" fillId="11" borderId="0" xfId="20" applyFont="1" applyFill="1" applyBorder="1" applyAlignment="1" applyProtection="1">
      <protection locked="0"/>
    </xf>
    <xf numFmtId="0" fontId="25" fillId="0" borderId="4" xfId="0" applyNumberFormat="1" applyFont="1" applyFill="1" applyBorder="1" applyAlignment="1" applyProtection="1"/>
    <xf numFmtId="0" fontId="25" fillId="0" borderId="5" xfId="0" applyNumberFormat="1" applyFont="1" applyFill="1" applyBorder="1" applyAlignment="1" applyProtection="1"/>
    <xf numFmtId="165" fontId="25" fillId="11" borderId="15" xfId="20" applyFont="1" applyFill="1" applyBorder="1" applyAlignment="1" applyProtection="1">
      <protection locked="0"/>
    </xf>
    <xf numFmtId="165" fontId="25" fillId="11" borderId="8" xfId="20" applyFont="1" applyFill="1" applyBorder="1" applyAlignment="1" applyProtection="1">
      <protection locked="0"/>
    </xf>
    <xf numFmtId="0" fontId="25" fillId="0" borderId="0" xfId="0" applyNumberFormat="1" applyFont="1" applyFill="1" applyProtection="1"/>
    <xf numFmtId="0" fontId="25" fillId="0" borderId="0" xfId="0" applyFont="1" applyFill="1" applyProtection="1"/>
    <xf numFmtId="0" fontId="19" fillId="0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26" fillId="0" borderId="0" xfId="0" applyFont="1" applyFill="1" applyAlignment="1" applyProtection="1"/>
    <xf numFmtId="0" fontId="25" fillId="0" borderId="0" xfId="0" applyFont="1" applyFill="1" applyAlignment="1" applyProtection="1"/>
    <xf numFmtId="0" fontId="25" fillId="0" borderId="0" xfId="0" applyFont="1" applyFill="1" applyBorder="1" applyProtection="1"/>
    <xf numFmtId="166" fontId="25" fillId="0" borderId="0" xfId="0" applyNumberFormat="1" applyFont="1" applyFill="1" applyProtection="1"/>
    <xf numFmtId="167" fontId="25" fillId="0" borderId="0" xfId="0" applyNumberFormat="1" applyFont="1" applyFill="1" applyAlignment="1" applyProtection="1">
      <alignment horizontal="right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6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/>
    <xf numFmtId="0" fontId="26" fillId="11" borderId="8" xfId="0" applyFont="1" applyFill="1" applyBorder="1" applyAlignment="1" applyProtection="1">
      <alignment horizontal="center"/>
    </xf>
    <xf numFmtId="0" fontId="26" fillId="11" borderId="9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7" borderId="4" xfId="0" applyFont="1" applyFill="1" applyBorder="1" applyAlignment="1" applyProtection="1"/>
    <xf numFmtId="165" fontId="25" fillId="7" borderId="6" xfId="0" applyNumberFormat="1" applyFont="1" applyFill="1" applyBorder="1" applyAlignment="1" applyProtection="1"/>
    <xf numFmtId="0" fontId="25" fillId="8" borderId="4" xfId="0" applyFont="1" applyFill="1" applyBorder="1" applyProtection="1"/>
    <xf numFmtId="0" fontId="25" fillId="0" borderId="4" xfId="0" applyFont="1" applyFill="1" applyBorder="1" applyAlignment="1" applyProtection="1">
      <alignment horizontal="left" indent="2"/>
    </xf>
    <xf numFmtId="165" fontId="25" fillId="11" borderId="4" xfId="20" applyFont="1" applyFill="1" applyBorder="1" applyAlignment="1" applyProtection="1">
      <protection locked="0"/>
    </xf>
    <xf numFmtId="165" fontId="25" fillId="0" borderId="7" xfId="20" applyFont="1" applyFill="1" applyBorder="1" applyAlignment="1" applyProtection="1"/>
    <xf numFmtId="165" fontId="25" fillId="11" borderId="12" xfId="20" applyNumberFormat="1" applyFont="1" applyFill="1" applyBorder="1" applyAlignment="1" applyProtection="1">
      <protection locked="0"/>
    </xf>
    <xf numFmtId="0" fontId="25" fillId="12" borderId="12" xfId="0" applyFont="1" applyFill="1" applyBorder="1" applyProtection="1"/>
    <xf numFmtId="165" fontId="25" fillId="8" borderId="12" xfId="20" applyFont="1" applyFill="1" applyBorder="1" applyAlignment="1" applyProtection="1"/>
    <xf numFmtId="0" fontId="30" fillId="0" borderId="0" xfId="0" applyNumberFormat="1" applyFont="1" applyFill="1" applyAlignment="1" applyProtection="1"/>
    <xf numFmtId="0" fontId="25" fillId="11" borderId="12" xfId="0" applyFont="1" applyFill="1" applyBorder="1" applyProtection="1">
      <protection locked="0"/>
    </xf>
    <xf numFmtId="0" fontId="25" fillId="7" borderId="4" xfId="0" applyFont="1" applyFill="1" applyBorder="1" applyProtection="1"/>
    <xf numFmtId="0" fontId="25" fillId="11" borderId="6" xfId="0" applyFont="1" applyFill="1" applyBorder="1" applyProtection="1">
      <protection locked="0"/>
    </xf>
    <xf numFmtId="0" fontId="25" fillId="7" borderId="6" xfId="0" applyFont="1" applyFill="1" applyBorder="1" applyProtection="1">
      <protection locked="0"/>
    </xf>
    <xf numFmtId="165" fontId="25" fillId="7" borderId="7" xfId="20" applyFont="1" applyFill="1" applyBorder="1" applyAlignment="1" applyProtection="1"/>
    <xf numFmtId="0" fontId="25" fillId="11" borderId="2" xfId="0" applyFont="1" applyFill="1" applyBorder="1" applyAlignment="1" applyProtection="1">
      <alignment vertical="center"/>
    </xf>
    <xf numFmtId="165" fontId="26" fillId="11" borderId="12" xfId="0" applyNumberFormat="1" applyFont="1" applyFill="1" applyBorder="1" applyProtection="1"/>
    <xf numFmtId="0" fontId="26" fillId="0" borderId="0" xfId="0" applyFont="1" applyFill="1" applyBorder="1" applyProtection="1"/>
    <xf numFmtId="0" fontId="31" fillId="0" borderId="0" xfId="0" applyFont="1" applyFill="1" applyAlignment="1" applyProtection="1"/>
    <xf numFmtId="0" fontId="11" fillId="0" borderId="0" xfId="0" applyFont="1" applyAlignment="1" applyProtection="1">
      <alignment horizontal="right" vertical="center"/>
    </xf>
    <xf numFmtId="49" fontId="25" fillId="0" borderId="0" xfId="0" applyNumberFormat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right"/>
    </xf>
    <xf numFmtId="2" fontId="26" fillId="11" borderId="8" xfId="0" applyNumberFormat="1" applyFont="1" applyFill="1" applyBorder="1" applyAlignment="1" applyProtection="1">
      <alignment horizontal="center"/>
    </xf>
    <xf numFmtId="49" fontId="26" fillId="7" borderId="0" xfId="0" applyNumberFormat="1" applyFont="1" applyFill="1" applyBorder="1" applyAlignment="1" applyProtection="1"/>
    <xf numFmtId="165" fontId="26" fillId="7" borderId="10" xfId="20" applyFont="1" applyFill="1" applyBorder="1" applyAlignment="1" applyProtection="1"/>
    <xf numFmtId="165" fontId="25" fillId="11" borderId="7" xfId="20" applyNumberFormat="1" applyFont="1" applyFill="1" applyBorder="1" applyAlignment="1" applyProtection="1">
      <protection locked="0"/>
    </xf>
    <xf numFmtId="49" fontId="26" fillId="7" borderId="4" xfId="0" applyNumberFormat="1" applyFont="1" applyFill="1" applyBorder="1" applyAlignment="1" applyProtection="1">
      <alignment horizontal="left"/>
    </xf>
    <xf numFmtId="49" fontId="26" fillId="11" borderId="3" xfId="0" applyNumberFormat="1" applyFont="1" applyFill="1" applyBorder="1" applyAlignment="1" applyProtection="1"/>
    <xf numFmtId="165" fontId="26" fillId="11" borderId="16" xfId="20" applyFont="1" applyFill="1" applyBorder="1" applyAlignment="1" applyProtection="1"/>
    <xf numFmtId="167" fontId="25" fillId="0" borderId="15" xfId="0" applyNumberFormat="1" applyFont="1" applyFill="1" applyBorder="1" applyAlignment="1" applyProtection="1"/>
    <xf numFmtId="0" fontId="26" fillId="11" borderId="8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5" fillId="7" borderId="0" xfId="0" applyFont="1" applyFill="1" applyAlignment="1" applyProtection="1"/>
    <xf numFmtId="0" fontId="25" fillId="8" borderId="0" xfId="0" applyFont="1" applyFill="1" applyAlignment="1" applyProtection="1"/>
    <xf numFmtId="0" fontId="25" fillId="11" borderId="0" xfId="0" applyFont="1" applyFill="1" applyAlignment="1" applyProtection="1"/>
    <xf numFmtId="0" fontId="26" fillId="11" borderId="3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 wrapText="1"/>
    </xf>
    <xf numFmtId="0" fontId="26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5" fillId="7" borderId="6" xfId="20" applyFont="1" applyFill="1" applyBorder="1" applyAlignment="1" applyProtection="1">
      <alignment vertical="center" wrapText="1"/>
    </xf>
    <xf numFmtId="165" fontId="25" fillId="7" borderId="6" xfId="2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Alignment="1" applyProtection="1">
      <alignment vertical="center"/>
    </xf>
    <xf numFmtId="165" fontId="25" fillId="11" borderId="6" xfId="20" applyFont="1" applyFill="1" applyBorder="1" applyAlignment="1" applyProtection="1">
      <alignment vertical="center" wrapText="1"/>
      <protection locked="0"/>
    </xf>
    <xf numFmtId="165" fontId="25" fillId="11" borderId="6" xfId="20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5" fillId="7" borderId="7" xfId="20" applyFont="1" applyFill="1" applyBorder="1" applyAlignment="1" applyProtection="1">
      <alignment vertical="center" wrapText="1"/>
    </xf>
    <xf numFmtId="49" fontId="25" fillId="8" borderId="0" xfId="0" applyNumberFormat="1" applyFont="1" applyFill="1" applyAlignment="1" applyProtection="1">
      <alignment vertical="center"/>
    </xf>
    <xf numFmtId="165" fontId="25" fillId="8" borderId="7" xfId="20" applyFont="1" applyFill="1" applyBorder="1" applyAlignment="1" applyProtection="1">
      <alignment vertical="center" wrapText="1"/>
    </xf>
    <xf numFmtId="165" fontId="25" fillId="8" borderId="6" xfId="20" applyNumberFormat="1" applyFont="1" applyFill="1" applyBorder="1" applyAlignment="1" applyProtection="1">
      <alignment vertical="center" wrapText="1"/>
    </xf>
    <xf numFmtId="165" fontId="25" fillId="11" borderId="7" xfId="20" applyFont="1" applyFill="1" applyBorder="1" applyAlignment="1" applyProtection="1">
      <alignment vertical="center" wrapText="1"/>
      <protection locked="0"/>
    </xf>
    <xf numFmtId="49" fontId="26" fillId="11" borderId="3" xfId="0" applyNumberFormat="1" applyFont="1" applyFill="1" applyBorder="1" applyAlignment="1" applyProtection="1">
      <alignment vertical="center"/>
    </xf>
    <xf numFmtId="165" fontId="25" fillId="11" borderId="12" xfId="20" applyFont="1" applyFill="1" applyBorder="1" applyAlignment="1" applyProtection="1">
      <alignment vertical="center" wrapText="1"/>
    </xf>
    <xf numFmtId="165" fontId="25" fillId="11" borderId="12" xfId="20" applyNumberFormat="1" applyFont="1" applyFill="1" applyBorder="1" applyAlignment="1" applyProtection="1">
      <alignment vertical="center" wrapText="1"/>
    </xf>
    <xf numFmtId="49" fontId="25" fillId="0" borderId="3" xfId="0" applyNumberFormat="1" applyFont="1" applyFill="1" applyBorder="1" applyAlignment="1" applyProtection="1">
      <alignment vertical="center"/>
    </xf>
    <xf numFmtId="37" fontId="26" fillId="0" borderId="3" xfId="0" applyNumberFormat="1" applyFont="1" applyFill="1" applyBorder="1" applyAlignment="1" applyProtection="1"/>
    <xf numFmtId="0" fontId="25" fillId="0" borderId="15" xfId="0" applyFont="1" applyFill="1" applyBorder="1" applyAlignment="1" applyProtection="1">
      <alignment vertical="center" wrapText="1"/>
    </xf>
    <xf numFmtId="49" fontId="26" fillId="11" borderId="2" xfId="0" applyNumberFormat="1" applyFont="1" applyFill="1" applyBorder="1" applyAlignment="1" applyProtection="1">
      <alignment horizontal="justify" vertical="center"/>
    </xf>
    <xf numFmtId="165" fontId="25" fillId="11" borderId="8" xfId="20" applyFont="1" applyFill="1" applyBorder="1" applyAlignment="1" applyProtection="1">
      <alignment vertical="center" wrapText="1"/>
    </xf>
    <xf numFmtId="0" fontId="25" fillId="12" borderId="12" xfId="0" applyFont="1" applyFill="1" applyBorder="1" applyAlignment="1" applyProtection="1">
      <alignment vertical="center" wrapText="1"/>
    </xf>
    <xf numFmtId="0" fontId="33" fillId="0" borderId="0" xfId="0" applyFont="1" applyFill="1" applyProtection="1"/>
    <xf numFmtId="49" fontId="26" fillId="0" borderId="0" xfId="0" applyNumberFormat="1" applyFont="1" applyFill="1" applyBorder="1" applyAlignment="1" applyProtection="1">
      <alignment horizontal="justify" vertical="center"/>
    </xf>
    <xf numFmtId="165" fontId="25" fillId="0" borderId="0" xfId="20" applyFont="1" applyFill="1" applyBorder="1" applyAlignment="1" applyProtection="1">
      <alignment horizontal="center" vertical="center"/>
    </xf>
    <xf numFmtId="165" fontId="25" fillId="0" borderId="0" xfId="20" applyFont="1" applyFill="1" applyBorder="1" applyAlignment="1" applyProtection="1">
      <alignment horizontal="center" vertical="center" wrapText="1"/>
    </xf>
    <xf numFmtId="165" fontId="25" fillId="0" borderId="0" xfId="2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justify" vertical="center"/>
    </xf>
    <xf numFmtId="0" fontId="27" fillId="11" borderId="16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top" wrapText="1"/>
    </xf>
    <xf numFmtId="37" fontId="25" fillId="0" borderId="0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/>
    <xf numFmtId="0" fontId="25" fillId="0" borderId="0" xfId="0" applyFont="1" applyBorder="1" applyAlignment="1" applyProtection="1">
      <alignment horizontal="justify" vertical="top" wrapText="1"/>
    </xf>
    <xf numFmtId="0" fontId="25" fillId="0" borderId="1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5" fillId="0" borderId="15" xfId="0" applyFont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/>
    </xf>
    <xf numFmtId="37" fontId="25" fillId="0" borderId="0" xfId="0" applyNumberFormat="1" applyFont="1" applyFill="1" applyBorder="1" applyAlignment="1" applyProtection="1">
      <alignment vertical="center" wrapText="1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5" fillId="0" borderId="7" xfId="20" applyFont="1" applyFill="1" applyBorder="1" applyAlignment="1" applyProtection="1">
      <alignment vertical="center" wrapText="1"/>
    </xf>
    <xf numFmtId="165" fontId="25" fillId="0" borderId="11" xfId="20" applyNumberFormat="1" applyFont="1" applyFill="1" applyBorder="1" applyAlignment="1" applyProtection="1">
      <alignment vertical="center" wrapText="1"/>
    </xf>
    <xf numFmtId="49" fontId="25" fillId="0" borderId="4" xfId="0" applyNumberFormat="1" applyFont="1" applyFill="1" applyBorder="1" applyAlignment="1" applyProtection="1">
      <alignment vertical="center"/>
    </xf>
    <xf numFmtId="165" fontId="25" fillId="11" borderId="6" xfId="20" applyNumberFormat="1" applyFont="1" applyFill="1" applyBorder="1" applyAlignment="1" applyProtection="1"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vertical="center" wrapText="1"/>
    </xf>
    <xf numFmtId="49" fontId="25" fillId="0" borderId="5" xfId="0" applyNumberFormat="1" applyFont="1" applyFill="1" applyBorder="1" applyAlignment="1" applyProtection="1">
      <alignment vertical="center"/>
    </xf>
    <xf numFmtId="165" fontId="25" fillId="11" borderId="9" xfId="20" applyFont="1" applyFill="1" applyBorder="1" applyAlignment="1" applyProtection="1">
      <alignment vertical="center" wrapText="1"/>
      <protection locked="0"/>
    </xf>
    <xf numFmtId="165" fontId="25" fillId="11" borderId="9" xfId="20" applyFont="1" applyFill="1" applyBorder="1" applyAlignment="1" applyProtection="1">
      <protection locked="0"/>
    </xf>
    <xf numFmtId="165" fontId="25" fillId="11" borderId="8" xfId="20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165" fontId="25" fillId="0" borderId="0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vertical="center"/>
    </xf>
    <xf numFmtId="0" fontId="25" fillId="11" borderId="16" xfId="0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25" fillId="11" borderId="2" xfId="0" applyFont="1" applyFill="1" applyBorder="1" applyAlignment="1" applyProtection="1">
      <alignment horizontal="center" vertical="center" wrapText="1"/>
    </xf>
    <xf numFmtId="0" fontId="27" fillId="11" borderId="4" xfId="0" applyFont="1" applyFill="1" applyBorder="1" applyAlignment="1" applyProtection="1">
      <alignment horizontal="center" vertical="center"/>
    </xf>
    <xf numFmtId="0" fontId="25" fillId="11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/>
    <xf numFmtId="0" fontId="25" fillId="11" borderId="16" xfId="0" applyFont="1" applyFill="1" applyBorder="1" applyAlignment="1" applyProtection="1">
      <alignment horizontal="center" vertical="center"/>
    </xf>
    <xf numFmtId="0" fontId="25" fillId="11" borderId="3" xfId="0" applyFont="1" applyFill="1" applyBorder="1" applyAlignment="1" applyProtection="1">
      <alignment horizontal="center" vertic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0" xfId="0" applyFont="1" applyFill="1" applyBorder="1" applyAlignment="1" applyProtection="1">
      <alignment horizontal="center"/>
    </xf>
    <xf numFmtId="0" fontId="25" fillId="11" borderId="14" xfId="0" applyFont="1" applyFill="1" applyBorder="1" applyAlignment="1" applyProtection="1">
      <alignment horizontal="center"/>
    </xf>
    <xf numFmtId="0" fontId="25" fillId="11" borderId="13" xfId="0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0" fontId="25" fillId="11" borderId="15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vertical="center"/>
    </xf>
    <xf numFmtId="0" fontId="27" fillId="11" borderId="4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vertical="center"/>
    </xf>
    <xf numFmtId="49" fontId="25" fillId="0" borderId="0" xfId="13" applyNumberFormat="1" applyFont="1" applyFill="1" applyBorder="1" applyAlignment="1">
      <alignment wrapText="1"/>
    </xf>
    <xf numFmtId="0" fontId="25" fillId="13" borderId="0" xfId="0" applyFont="1" applyFill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left" indent="2"/>
    </xf>
    <xf numFmtId="0" fontId="25" fillId="11" borderId="2" xfId="0" applyNumberFormat="1" applyFont="1" applyFill="1" applyBorder="1" applyAlignment="1" applyProtection="1"/>
    <xf numFmtId="3" fontId="25" fillId="0" borderId="3" xfId="0" applyNumberFormat="1" applyFont="1" applyFill="1" applyBorder="1" applyAlignment="1" applyProtection="1">
      <alignment vertical="center"/>
    </xf>
    <xf numFmtId="0" fontId="26" fillId="11" borderId="10" xfId="0" applyFont="1" applyFill="1" applyBorder="1" applyAlignment="1" applyProtection="1">
      <alignment horizontal="center" vertical="center" wrapText="1"/>
    </xf>
    <xf numFmtId="165" fontId="25" fillId="0" borderId="6" xfId="20" applyFont="1" applyFill="1" applyBorder="1" applyAlignment="1" applyProtection="1">
      <alignment vertical="center" wrapText="1"/>
    </xf>
    <xf numFmtId="165" fontId="25" fillId="11" borderId="6" xfId="20" applyNumberFormat="1" applyFont="1" applyFill="1" applyBorder="1" applyAlignment="1" applyProtection="1">
      <alignment vertical="center"/>
      <protection locked="0"/>
    </xf>
    <xf numFmtId="37" fontId="25" fillId="12" borderId="16" xfId="0" applyNumberFormat="1" applyFont="1" applyFill="1" applyBorder="1" applyAlignment="1" applyProtection="1">
      <alignment horizontal="center" vertical="center"/>
    </xf>
    <xf numFmtId="0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/>
    <xf numFmtId="0" fontId="25" fillId="0" borderId="3" xfId="0" applyFont="1" applyFill="1" applyBorder="1" applyAlignment="1" applyProtection="1">
      <alignment vertical="center"/>
    </xf>
    <xf numFmtId="165" fontId="25" fillId="11" borderId="16" xfId="20" applyFont="1" applyFill="1" applyBorder="1" applyAlignment="1" applyProtection="1">
      <alignment vertical="center"/>
    </xf>
    <xf numFmtId="165" fontId="25" fillId="11" borderId="16" xfId="0" applyNumberFormat="1" applyFont="1" applyFill="1" applyBorder="1" applyAlignment="1" applyProtection="1">
      <alignment vertical="center"/>
    </xf>
    <xf numFmtId="165" fontId="25" fillId="11" borderId="12" xfId="0" applyNumberFormat="1" applyFont="1" applyFill="1" applyBorder="1" applyAlignment="1" applyProtection="1">
      <alignment vertical="center"/>
    </xf>
    <xf numFmtId="165" fontId="25" fillId="12" borderId="16" xfId="0" applyNumberFormat="1" applyFont="1" applyFill="1" applyBorder="1" applyAlignment="1" applyProtection="1">
      <alignment vertical="center"/>
    </xf>
    <xf numFmtId="165" fontId="25" fillId="12" borderId="12" xfId="0" applyNumberFormat="1" applyFont="1" applyFill="1" applyBorder="1" applyAlignment="1" applyProtection="1">
      <alignment vertical="center"/>
    </xf>
    <xf numFmtId="165" fontId="25" fillId="11" borderId="16" xfId="20" applyNumberFormat="1" applyFont="1" applyFill="1" applyBorder="1" applyAlignment="1" applyProtection="1">
      <alignment horizontal="center" vertical="center"/>
      <protection locked="0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165" fontId="25" fillId="11" borderId="3" xfId="20" applyNumberFormat="1" applyFont="1" applyFill="1" applyBorder="1" applyAlignment="1" applyProtection="1">
      <alignment vertical="center"/>
      <protection locked="0"/>
    </xf>
    <xf numFmtId="165" fontId="25" fillId="11" borderId="16" xfId="20" applyNumberFormat="1" applyFont="1" applyFill="1" applyBorder="1" applyAlignment="1" applyProtection="1">
      <alignment vertical="center"/>
      <protection locked="0"/>
    </xf>
    <xf numFmtId="165" fontId="25" fillId="11" borderId="12" xfId="20" applyNumberFormat="1" applyFont="1" applyFill="1" applyBorder="1" applyAlignment="1" applyProtection="1">
      <alignment vertical="center"/>
      <protection locked="0"/>
    </xf>
    <xf numFmtId="0" fontId="25" fillId="0" borderId="5" xfId="0" applyFont="1" applyFill="1" applyBorder="1" applyAlignment="1" applyProtection="1">
      <alignment vertical="center"/>
    </xf>
    <xf numFmtId="0" fontId="35" fillId="0" borderId="0" xfId="0" applyNumberFormat="1" applyFont="1" applyFill="1" applyAlignment="1" applyProtection="1"/>
    <xf numFmtId="0" fontId="35" fillId="0" borderId="0" xfId="0" applyFont="1" applyFill="1" applyAlignment="1" applyProtection="1"/>
    <xf numFmtId="0" fontId="25" fillId="0" borderId="15" xfId="0" applyFont="1" applyFill="1" applyBorder="1" applyAlignment="1" applyProtection="1"/>
    <xf numFmtId="0" fontId="26" fillId="11" borderId="8" xfId="13" applyFont="1" applyFill="1" applyBorder="1" applyAlignment="1" applyProtection="1">
      <alignment horizontal="center"/>
    </xf>
    <xf numFmtId="49" fontId="25" fillId="0" borderId="0" xfId="0" applyNumberFormat="1" applyFont="1" applyFill="1" applyAlignment="1" applyProtection="1">
      <alignment wrapText="1"/>
    </xf>
    <xf numFmtId="165" fontId="25" fillId="11" borderId="16" xfId="20" applyFont="1" applyFill="1" applyBorder="1" applyAlignment="1" applyProtection="1"/>
    <xf numFmtId="0" fontId="0" fillId="0" borderId="0" xfId="13" applyFont="1" applyFill="1" applyBorder="1" applyAlignment="1" applyProtection="1"/>
    <xf numFmtId="0" fontId="11" fillId="0" borderId="0" xfId="13" applyFont="1" applyFill="1" applyBorder="1" applyAlignment="1" applyProtection="1"/>
    <xf numFmtId="0" fontId="35" fillId="0" borderId="0" xfId="13" applyFont="1" applyFill="1" applyAlignment="1" applyProtection="1"/>
    <xf numFmtId="0" fontId="36" fillId="0" borderId="0" xfId="13" applyFont="1" applyFill="1" applyAlignment="1" applyProtection="1"/>
    <xf numFmtId="0" fontId="26" fillId="0" borderId="0" xfId="13" applyFont="1" applyFill="1" applyAlignment="1" applyProtection="1"/>
    <xf numFmtId="0" fontId="25" fillId="0" borderId="0" xfId="13" applyFont="1" applyFill="1" applyAlignment="1" applyProtection="1"/>
    <xf numFmtId="0" fontId="31" fillId="0" borderId="0" xfId="13" applyFont="1" applyFill="1" applyAlignme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right" vertical="center"/>
    </xf>
    <xf numFmtId="0" fontId="25" fillId="0" borderId="0" xfId="13" applyFont="1" applyFill="1" applyAlignment="1" applyProtection="1">
      <alignment horizontal="center"/>
    </xf>
    <xf numFmtId="167" fontId="25" fillId="0" borderId="0" xfId="13" applyNumberFormat="1" applyFont="1" applyFill="1" applyAlignment="1" applyProtection="1">
      <alignment horizontal="right"/>
    </xf>
    <xf numFmtId="0" fontId="25" fillId="11" borderId="13" xfId="13" applyFont="1" applyFill="1" applyBorder="1" applyAlignment="1" applyProtection="1"/>
    <xf numFmtId="0" fontId="25" fillId="11" borderId="4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4" xfId="13" applyFont="1" applyFill="1" applyBorder="1" applyAlignment="1" applyProtection="1">
      <alignment horizontal="center"/>
    </xf>
    <xf numFmtId="0" fontId="25" fillId="11" borderId="5" xfId="13" applyFont="1" applyFill="1" applyBorder="1" applyAlignment="1" applyProtection="1"/>
    <xf numFmtId="0" fontId="25" fillId="11" borderId="8" xfId="13" applyFont="1" applyFill="1" applyBorder="1" applyAlignment="1" applyProtection="1">
      <alignment horizontal="center"/>
    </xf>
    <xf numFmtId="0" fontId="25" fillId="11" borderId="15" xfId="13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top" wrapText="1"/>
    </xf>
    <xf numFmtId="10" fontId="25" fillId="0" borderId="7" xfId="16" applyNumberFormat="1" applyFont="1" applyFill="1" applyBorder="1" applyAlignment="1" applyProtection="1"/>
    <xf numFmtId="0" fontId="31" fillId="0" borderId="4" xfId="13" applyFont="1" applyFill="1" applyBorder="1" applyAlignment="1" applyProtection="1"/>
    <xf numFmtId="0" fontId="11" fillId="0" borderId="0" xfId="0" applyFont="1" applyFill="1" applyAlignment="1" applyProtection="1">
      <alignment horizontal="right"/>
    </xf>
    <xf numFmtId="0" fontId="28" fillId="0" borderId="4" xfId="13" applyFont="1" applyBorder="1" applyAlignment="1" applyProtection="1">
      <alignment horizontal="left" vertical="top" wrapText="1"/>
    </xf>
    <xf numFmtId="0" fontId="31" fillId="0" borderId="0" xfId="13" applyFont="1" applyFill="1" applyBorder="1" applyAlignment="1" applyProtection="1"/>
    <xf numFmtId="0" fontId="25" fillId="0" borderId="2" xfId="13" applyFont="1" applyBorder="1" applyAlignment="1" applyProtection="1">
      <alignment horizontal="left" vertical="top" wrapText="1"/>
    </xf>
    <xf numFmtId="10" fontId="25" fillId="0" borderId="16" xfId="16" applyNumberFormat="1" applyFont="1" applyFill="1" applyBorder="1" applyAlignment="1" applyProtection="1"/>
    <xf numFmtId="0" fontId="25" fillId="11" borderId="0" xfId="13" applyFont="1" applyFill="1" applyBorder="1" applyAlignment="1" applyProtection="1"/>
    <xf numFmtId="0" fontId="25" fillId="11" borderId="0" xfId="13" applyFont="1" applyFill="1" applyBorder="1" applyAlignment="1" applyProtection="1">
      <alignment horizontal="center"/>
    </xf>
    <xf numFmtId="165" fontId="31" fillId="0" borderId="0" xfId="20" applyFont="1" applyFill="1" applyBorder="1" applyAlignment="1" applyProtection="1"/>
    <xf numFmtId="0" fontId="25" fillId="0" borderId="4" xfId="13" applyFont="1" applyBorder="1" applyAlignment="1" applyProtection="1">
      <alignment horizontal="left" wrapText="1"/>
    </xf>
    <xf numFmtId="0" fontId="25" fillId="0" borderId="4" xfId="13" applyFont="1" applyBorder="1" applyAlignment="1" applyProtection="1">
      <alignment horizontal="justify" vertical="top" wrapText="1"/>
    </xf>
    <xf numFmtId="0" fontId="28" fillId="0" borderId="4" xfId="13" applyFont="1" applyBorder="1" applyAlignment="1" applyProtection="1">
      <alignment horizontal="justify" vertical="top" wrapText="1"/>
    </xf>
    <xf numFmtId="0" fontId="25" fillId="11" borderId="6" xfId="13" applyFont="1" applyFill="1" applyBorder="1" applyAlignment="1" applyProtection="1">
      <alignment horizontal="center"/>
    </xf>
    <xf numFmtId="0" fontId="25" fillId="11" borderId="4" xfId="13" applyFont="1" applyFill="1" applyBorder="1" applyAlignment="1" applyProtection="1"/>
    <xf numFmtId="0" fontId="25" fillId="0" borderId="13" xfId="13" applyFont="1" applyBorder="1" applyAlignment="1" applyProtection="1">
      <alignment horizontal="left" vertical="top" wrapText="1"/>
    </xf>
    <xf numFmtId="10" fontId="25" fillId="0" borderId="10" xfId="16" applyNumberFormat="1" applyFont="1" applyFill="1" applyBorder="1" applyAlignment="1" applyProtection="1"/>
    <xf numFmtId="0" fontId="41" fillId="0" borderId="0" xfId="13" applyFont="1" applyFill="1" applyBorder="1" applyAlignment="1" applyProtection="1"/>
    <xf numFmtId="0" fontId="31" fillId="0" borderId="0" xfId="14" applyFont="1" applyFill="1" applyBorder="1" applyAlignment="1" applyProtection="1"/>
    <xf numFmtId="0" fontId="31" fillId="0" borderId="0" xfId="14" applyFont="1" applyFill="1" applyBorder="1" applyAlignment="1" applyProtection="1">
      <alignment vertical="center"/>
    </xf>
    <xf numFmtId="0" fontId="31" fillId="0" borderId="0" xfId="14" applyFont="1" applyFill="1" applyBorder="1" applyAlignment="1" applyProtection="1">
      <alignment horizontal="center" wrapText="1"/>
    </xf>
    <xf numFmtId="0" fontId="31" fillId="0" borderId="0" xfId="14" applyFont="1" applyFill="1" applyBorder="1" applyAlignment="1" applyProtection="1">
      <alignment horizontal="center"/>
    </xf>
    <xf numFmtId="0" fontId="25" fillId="11" borderId="9" xfId="14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1" xfId="20" applyFont="1" applyFill="1" applyBorder="1" applyAlignment="1" applyProtection="1">
      <alignment horizontal="left" vertical="top" wrapText="1"/>
    </xf>
    <xf numFmtId="10" fontId="25" fillId="0" borderId="14" xfId="16" applyNumberFormat="1" applyFont="1" applyFill="1" applyBorder="1" applyAlignment="1" applyProtection="1"/>
    <xf numFmtId="165" fontId="25" fillId="0" borderId="10" xfId="20" applyFont="1" applyFill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left" vertical="top" wrapText="1"/>
    </xf>
    <xf numFmtId="165" fontId="25" fillId="11" borderId="6" xfId="20" applyNumberFormat="1" applyFont="1" applyFill="1" applyBorder="1" applyAlignment="1" applyProtection="1">
      <alignment horizontal="left" vertical="top" wrapText="1"/>
      <protection locked="0"/>
    </xf>
    <xf numFmtId="10" fontId="25" fillId="0" borderId="0" xfId="16" applyNumberFormat="1" applyFont="1" applyFill="1" applyBorder="1" applyAlignment="1" applyProtection="1"/>
    <xf numFmtId="165" fontId="25" fillId="11" borderId="7" xfId="20" applyFont="1" applyFill="1" applyBorder="1" applyAlignment="1" applyProtection="1">
      <alignment horizontal="left" vertical="top" wrapText="1"/>
      <protection locked="0"/>
    </xf>
    <xf numFmtId="165" fontId="25" fillId="0" borderId="6" xfId="20" applyFont="1" applyFill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left" vertical="top" wrapText="1"/>
    </xf>
    <xf numFmtId="0" fontId="25" fillId="0" borderId="15" xfId="13" applyFont="1" applyBorder="1" applyAlignment="1" applyProtection="1">
      <alignment horizontal="left" vertical="top" wrapText="1"/>
    </xf>
    <xf numFmtId="165" fontId="25" fillId="11" borderId="8" xfId="20" applyNumberFormat="1" applyFont="1" applyFill="1" applyBorder="1" applyAlignment="1" applyProtection="1">
      <alignment horizontal="left" vertical="top" wrapText="1"/>
      <protection locked="0"/>
    </xf>
    <xf numFmtId="10" fontId="25" fillId="0" borderId="15" xfId="16" applyNumberFormat="1" applyFont="1" applyFill="1" applyBorder="1" applyAlignment="1" applyProtection="1"/>
    <xf numFmtId="165" fontId="25" fillId="11" borderId="9" xfId="20" applyFont="1" applyFill="1" applyBorder="1" applyAlignment="1" applyProtection="1">
      <alignment horizontal="left" vertical="top" wrapText="1"/>
      <protection locked="0"/>
    </xf>
    <xf numFmtId="0" fontId="25" fillId="0" borderId="5" xfId="13" applyFont="1" applyBorder="1" applyAlignment="1" applyProtection="1">
      <alignment horizontal="left" vertical="top" wrapText="1"/>
    </xf>
    <xf numFmtId="165" fontId="25" fillId="0" borderId="8" xfId="13" applyNumberFormat="1" applyFont="1" applyBorder="1" applyAlignment="1" applyProtection="1">
      <alignment horizontal="left" vertical="top" wrapText="1"/>
    </xf>
    <xf numFmtId="165" fontId="25" fillId="0" borderId="9" xfId="13" applyNumberFormat="1" applyFont="1" applyBorder="1" applyAlignment="1" applyProtection="1">
      <alignment horizontal="left" vertical="top" wrapText="1"/>
    </xf>
    <xf numFmtId="0" fontId="31" fillId="0" borderId="0" xfId="13" applyFont="1" applyFill="1" applyAlignment="1" applyProtection="1">
      <alignment vertical="center"/>
    </xf>
    <xf numFmtId="0" fontId="25" fillId="0" borderId="14" xfId="13" applyFont="1" applyBorder="1" applyAlignment="1" applyProtection="1">
      <alignment vertical="top" wrapText="1"/>
    </xf>
    <xf numFmtId="0" fontId="25" fillId="0" borderId="13" xfId="13" applyFont="1" applyBorder="1" applyAlignment="1" applyProtection="1">
      <alignment vertical="top" wrapText="1"/>
    </xf>
    <xf numFmtId="0" fontId="25" fillId="0" borderId="0" xfId="13" applyFont="1" applyBorder="1" applyAlignment="1" applyProtection="1">
      <alignment vertical="top" wrapText="1"/>
    </xf>
    <xf numFmtId="0" fontId="25" fillId="0" borderId="4" xfId="13" applyFont="1" applyBorder="1" applyAlignment="1" applyProtection="1">
      <alignment vertical="top" wrapText="1"/>
    </xf>
    <xf numFmtId="0" fontId="25" fillId="0" borderId="15" xfId="13" applyFont="1" applyBorder="1" applyAlignment="1" applyProtection="1">
      <alignment vertical="top" wrapText="1"/>
    </xf>
    <xf numFmtId="0" fontId="25" fillId="0" borderId="5" xfId="13" applyFont="1" applyBorder="1" applyAlignment="1" applyProtection="1">
      <alignment vertical="top" wrapText="1"/>
    </xf>
    <xf numFmtId="0" fontId="25" fillId="0" borderId="3" xfId="13" applyFont="1" applyBorder="1" applyAlignment="1" applyProtection="1">
      <alignment vertical="top" wrapText="1"/>
    </xf>
    <xf numFmtId="0" fontId="25" fillId="0" borderId="2" xfId="13" applyFont="1" applyBorder="1" applyAlignment="1" applyProtection="1">
      <alignment vertical="top" wrapText="1"/>
    </xf>
    <xf numFmtId="0" fontId="25" fillId="0" borderId="0" xfId="13" applyFont="1" applyFill="1" applyBorder="1" applyAlignment="1" applyProtection="1">
      <alignment vertical="top"/>
    </xf>
    <xf numFmtId="0" fontId="25" fillId="0" borderId="4" xfId="13" applyFont="1" applyFill="1" applyBorder="1" applyAlignment="1" applyProtection="1">
      <alignment vertical="top"/>
    </xf>
    <xf numFmtId="0" fontId="25" fillId="0" borderId="0" xfId="13" applyFont="1" applyBorder="1" applyAlignment="1" applyProtection="1">
      <alignment vertical="top"/>
    </xf>
    <xf numFmtId="0" fontId="25" fillId="0" borderId="4" xfId="13" applyFont="1" applyBorder="1" applyAlignment="1" applyProtection="1">
      <alignment vertical="top"/>
    </xf>
    <xf numFmtId="0" fontId="31" fillId="0" borderId="0" xfId="13" applyFont="1" applyFill="1" applyAlignment="1" applyProtection="1">
      <alignment horizontal="center" vertical="center"/>
    </xf>
    <xf numFmtId="165" fontId="25" fillId="0" borderId="11" xfId="13" applyNumberFormat="1" applyFont="1" applyFill="1" applyBorder="1" applyAlignment="1" applyProtection="1">
      <alignment horizontal="left" vertical="top" wrapText="1"/>
    </xf>
    <xf numFmtId="165" fontId="25" fillId="0" borderId="10" xfId="13" applyNumberFormat="1" applyFont="1" applyFill="1" applyBorder="1" applyAlignment="1" applyProtection="1">
      <alignment horizontal="left" vertical="top" wrapText="1"/>
    </xf>
    <xf numFmtId="10" fontId="25" fillId="0" borderId="11" xfId="16" applyNumberFormat="1" applyFont="1" applyFill="1" applyBorder="1" applyAlignment="1" applyProtection="1"/>
    <xf numFmtId="165" fontId="25" fillId="0" borderId="13" xfId="13" applyNumberFormat="1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>
      <alignment horizontal="left" vertical="top" wrapText="1"/>
    </xf>
    <xf numFmtId="165" fontId="25" fillId="11" borderId="6" xfId="20" applyFont="1" applyFill="1" applyBorder="1" applyAlignment="1" applyProtection="1">
      <alignment horizontal="left" vertical="top" wrapText="1"/>
      <protection locked="0"/>
    </xf>
    <xf numFmtId="165" fontId="25" fillId="11" borderId="4" xfId="20" applyFont="1" applyFill="1" applyBorder="1" applyAlignment="1" applyProtection="1">
      <alignment horizontal="left" vertical="top" wrapText="1"/>
      <protection locked="0"/>
    </xf>
    <xf numFmtId="165" fontId="25" fillId="0" borderId="2" xfId="13" applyNumberFormat="1" applyFont="1" applyFill="1" applyBorder="1" applyAlignment="1" applyProtection="1">
      <alignment horizontal="left" vertical="top" wrapText="1"/>
    </xf>
    <xf numFmtId="10" fontId="25" fillId="0" borderId="12" xfId="16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>
      <alignment horizontal="left" vertical="top" wrapText="1"/>
    </xf>
    <xf numFmtId="0" fontId="25" fillId="0" borderId="14" xfId="13" applyFont="1" applyBorder="1" applyAlignment="1" applyProtection="1">
      <alignment vertical="center" wrapText="1"/>
    </xf>
    <xf numFmtId="0" fontId="25" fillId="0" borderId="0" xfId="13" applyFont="1" applyFill="1" applyBorder="1" applyAlignment="1" applyProtection="1">
      <alignment horizontal="left" vertical="center" wrapText="1"/>
    </xf>
    <xf numFmtId="0" fontId="25" fillId="0" borderId="0" xfId="13" applyFont="1" applyBorder="1" applyAlignment="1" applyProtection="1">
      <alignment vertical="center" wrapText="1"/>
    </xf>
    <xf numFmtId="0" fontId="25" fillId="0" borderId="4" xfId="13" applyFont="1" applyBorder="1" applyAlignment="1" applyProtection="1">
      <alignment vertical="center" wrapText="1"/>
    </xf>
    <xf numFmtId="0" fontId="31" fillId="0" borderId="0" xfId="13" applyFont="1" applyFill="1" applyBorder="1" applyAlignment="1" applyProtection="1">
      <alignment horizontal="left" vertical="center" wrapText="1"/>
    </xf>
    <xf numFmtId="0" fontId="31" fillId="0" borderId="0" xfId="13" applyFont="1" applyFill="1" applyBorder="1" applyAlignment="1" applyProtection="1">
      <alignment horizontal="left" vertical="center"/>
    </xf>
    <xf numFmtId="0" fontId="31" fillId="0" borderId="0" xfId="13" applyFont="1" applyFill="1" applyAlignment="1" applyProtection="1">
      <alignment horizontal="left" vertical="center"/>
    </xf>
    <xf numFmtId="165" fontId="25" fillId="11" borderId="6" xfId="20" applyFont="1" applyFill="1" applyBorder="1" applyAlignment="1" applyProtection="1">
      <alignment vertical="center"/>
      <protection locked="0"/>
    </xf>
    <xf numFmtId="165" fontId="25" fillId="11" borderId="6" xfId="20" applyFont="1" applyFill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vertical="center"/>
      <protection locked="0"/>
    </xf>
    <xf numFmtId="0" fontId="25" fillId="0" borderId="0" xfId="13" applyFont="1" applyBorder="1" applyAlignment="1" applyProtection="1">
      <alignment horizontal="left" wrapText="1"/>
    </xf>
    <xf numFmtId="0" fontId="25" fillId="0" borderId="5" xfId="13" applyFont="1" applyBorder="1" applyAlignment="1" applyProtection="1">
      <alignment horizontal="left" wrapText="1"/>
    </xf>
    <xf numFmtId="165" fontId="25" fillId="0" borderId="12" xfId="20" applyFont="1" applyFill="1" applyBorder="1" applyAlignment="1" applyProtection="1">
      <alignment vertical="center"/>
    </xf>
    <xf numFmtId="10" fontId="25" fillId="0" borderId="12" xfId="16" applyNumberFormat="1" applyFont="1" applyFill="1" applyBorder="1" applyAlignment="1" applyProtection="1">
      <alignment vertical="center"/>
    </xf>
    <xf numFmtId="165" fontId="25" fillId="0" borderId="16" xfId="20" applyFont="1" applyFill="1" applyBorder="1" applyAlignment="1" applyProtection="1">
      <alignment vertical="center"/>
    </xf>
    <xf numFmtId="165" fontId="25" fillId="0" borderId="2" xfId="13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/>
    <xf numFmtId="0" fontId="0" fillId="0" borderId="0" xfId="13" applyFont="1" applyFill="1" applyProtection="1"/>
    <xf numFmtId="49" fontId="25" fillId="0" borderId="0" xfId="13" applyNumberFormat="1" applyFont="1" applyFill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0" fillId="0" borderId="0" xfId="13" applyFont="1" applyFill="1" applyBorder="1" applyProtection="1"/>
    <xf numFmtId="0" fontId="0" fillId="0" borderId="15" xfId="13" applyFont="1" applyFill="1" applyBorder="1" applyProtection="1"/>
    <xf numFmtId="0" fontId="25" fillId="0" borderId="15" xfId="13" applyFont="1" applyFill="1" applyBorder="1" applyAlignment="1" applyProtection="1">
      <alignment horizontal="right"/>
    </xf>
    <xf numFmtId="0" fontId="26" fillId="0" borderId="0" xfId="13" applyFont="1" applyFill="1" applyBorder="1" applyAlignment="1" applyProtection="1">
      <alignment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3" xfId="13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wrapText="1"/>
    </xf>
    <xf numFmtId="0" fontId="25" fillId="11" borderId="4" xfId="13" applyFont="1" applyFill="1" applyBorder="1" applyAlignment="1" applyProtection="1">
      <alignment horizontal="center" vertical="center" wrapText="1"/>
      <protection locked="0"/>
    </xf>
    <xf numFmtId="0" fontId="48" fillId="0" borderId="0" xfId="13" applyFont="1" applyFill="1" applyBorder="1" applyAlignment="1" applyProtection="1"/>
    <xf numFmtId="0" fontId="25" fillId="11" borderId="5" xfId="13" applyFont="1" applyFill="1" applyBorder="1" applyAlignment="1" applyProtection="1">
      <alignment vertical="center" wrapText="1"/>
    </xf>
    <xf numFmtId="0" fontId="25" fillId="11" borderId="8" xfId="13" applyFont="1" applyFill="1" applyBorder="1" applyAlignment="1" applyProtection="1">
      <alignment horizontal="center" wrapText="1"/>
    </xf>
    <xf numFmtId="0" fontId="25" fillId="0" borderId="4" xfId="13" applyFont="1" applyFill="1" applyBorder="1" applyAlignment="1" applyProtection="1">
      <alignment horizontal="left" wrapText="1"/>
    </xf>
    <xf numFmtId="165" fontId="25" fillId="0" borderId="6" xfId="13" applyNumberFormat="1" applyFont="1" applyFill="1" applyBorder="1" applyAlignment="1" applyProtection="1"/>
    <xf numFmtId="165" fontId="25" fillId="0" borderId="10" xfId="13" applyNumberFormat="1" applyFont="1" applyFill="1" applyBorder="1" applyAlignment="1" applyProtection="1"/>
    <xf numFmtId="0" fontId="25" fillId="0" borderId="4" xfId="13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/>
    <xf numFmtId="165" fontId="0" fillId="11" borderId="7" xfId="20" applyFont="1" applyFill="1" applyBorder="1" applyAlignment="1" applyProtection="1">
      <protection locked="0"/>
    </xf>
    <xf numFmtId="165" fontId="0" fillId="11" borderId="0" xfId="20" applyFont="1" applyFill="1" applyBorder="1" applyAlignment="1" applyProtection="1">
      <protection locked="0"/>
    </xf>
    <xf numFmtId="165" fontId="0" fillId="11" borderId="9" xfId="20" applyFont="1" applyFill="1" applyBorder="1" applyAlignment="1" applyProtection="1"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2" xfId="13" applyNumberFormat="1" applyFont="1" applyFill="1" applyBorder="1" applyProtection="1"/>
    <xf numFmtId="165" fontId="0" fillId="0" borderId="16" xfId="13" applyNumberFormat="1" applyFont="1" applyFill="1" applyBorder="1" applyProtection="1"/>
    <xf numFmtId="0" fontId="0" fillId="0" borderId="0" xfId="13" applyFont="1" applyFill="1" applyAlignment="1" applyProtection="1">
      <alignment horizontal="left"/>
    </xf>
    <xf numFmtId="0" fontId="35" fillId="0" borderId="0" xfId="13" applyFont="1" applyBorder="1" applyAlignment="1" applyProtection="1">
      <alignment wrapText="1"/>
    </xf>
    <xf numFmtId="0" fontId="35" fillId="0" borderId="0" xfId="13" applyFont="1" applyFill="1" applyBorder="1" applyAlignment="1" applyProtection="1"/>
    <xf numFmtId="0" fontId="25" fillId="0" borderId="0" xfId="13" applyFont="1" applyBorder="1" applyAlignment="1" applyProtection="1">
      <alignment horizontal="right" vertical="top" wrapText="1"/>
    </xf>
    <xf numFmtId="0" fontId="25" fillId="0" borderId="0" xfId="13" applyFont="1" applyAlignment="1" applyProtection="1">
      <alignment wrapText="1"/>
    </xf>
    <xf numFmtId="0" fontId="25" fillId="0" borderId="0" xfId="13" applyFont="1" applyAlignment="1" applyProtection="1">
      <alignment horizontal="right" vertical="top" wrapText="1"/>
    </xf>
    <xf numFmtId="167" fontId="25" fillId="0" borderId="0" xfId="13" applyNumberFormat="1" applyFont="1" applyBorder="1" applyAlignment="1" applyProtection="1">
      <alignment horizontal="right" vertical="top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7" xfId="13" applyFont="1" applyFill="1" applyBorder="1" applyAlignment="1" applyProtection="1">
      <alignment horizontal="center" vertical="top" wrapText="1"/>
    </xf>
    <xf numFmtId="0" fontId="25" fillId="0" borderId="12" xfId="13" applyFont="1" applyBorder="1" applyAlignment="1" applyProtection="1">
      <alignment horizontal="left" wrapText="1"/>
    </xf>
    <xf numFmtId="165" fontId="25" fillId="0" borderId="16" xfId="20" applyFont="1" applyFill="1" applyBorder="1" applyAlignment="1" applyProtection="1">
      <alignment horizontal="right" vertical="top" wrapText="1"/>
    </xf>
    <xf numFmtId="0" fontId="26" fillId="11" borderId="9" xfId="13" applyFont="1" applyFill="1" applyBorder="1" applyAlignment="1" applyProtection="1">
      <alignment horizontal="center" vertical="top" wrapText="1"/>
    </xf>
    <xf numFmtId="0" fontId="25" fillId="0" borderId="11" xfId="13" applyFont="1" applyBorder="1" applyAlignment="1" applyProtection="1">
      <alignment horizontal="left" wrapText="1"/>
    </xf>
    <xf numFmtId="165" fontId="25" fillId="0" borderId="10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left" wrapText="1"/>
    </xf>
    <xf numFmtId="165" fontId="25" fillId="0" borderId="7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justify" wrapText="1"/>
    </xf>
    <xf numFmtId="165" fontId="25" fillId="0" borderId="7" xfId="20" applyFont="1" applyFill="1" applyBorder="1" applyAlignment="1" applyProtection="1">
      <alignment horizontal="right" vertical="center" wrapText="1"/>
    </xf>
    <xf numFmtId="0" fontId="27" fillId="11" borderId="11" xfId="13" applyFont="1" applyFill="1" applyBorder="1" applyAlignment="1" applyProtection="1">
      <alignment horizontal="left" wrapText="1"/>
    </xf>
    <xf numFmtId="0" fontId="27" fillId="11" borderId="8" xfId="1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50" fillId="0" borderId="0" xfId="0" applyNumberFormat="1" applyFont="1" applyFill="1" applyAlignment="1" applyProtection="1"/>
    <xf numFmtId="0" fontId="35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/>
    <xf numFmtId="165" fontId="15" fillId="0" borderId="11" xfId="20" applyFont="1" applyFill="1" applyBorder="1" applyAlignment="1" applyProtection="1">
      <alignment horizontal="center"/>
    </xf>
    <xf numFmtId="165" fontId="15" fillId="11" borderId="11" xfId="20" applyFont="1" applyFill="1" applyBorder="1" applyAlignment="1" applyProtection="1"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0" borderId="6" xfId="20" applyFont="1" applyFill="1" applyBorder="1" applyAlignment="1" applyProtection="1"/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15" fillId="0" borderId="0" xfId="13" applyFont="1" applyFill="1" applyAlignment="1" applyProtection="1"/>
    <xf numFmtId="0" fontId="15" fillId="0" borderId="0" xfId="13" applyFont="1" applyFill="1" applyBorder="1" applyAlignment="1" applyProtection="1"/>
    <xf numFmtId="0" fontId="19" fillId="0" borderId="0" xfId="13" applyNumberFormat="1" applyFont="1" applyFill="1" applyAlignment="1" applyProtection="1"/>
    <xf numFmtId="0" fontId="15" fillId="0" borderId="0" xfId="13" applyFont="1" applyFill="1" applyAlignment="1" applyProtection="1">
      <alignment horizontal="left"/>
    </xf>
    <xf numFmtId="0" fontId="50" fillId="0" borderId="0" xfId="13" applyFont="1" applyFill="1" applyAlignment="1" applyProtection="1">
      <alignment horizontal="left"/>
    </xf>
    <xf numFmtId="0" fontId="15" fillId="0" borderId="0" xfId="13" applyFont="1" applyFill="1" applyProtection="1"/>
    <xf numFmtId="167" fontId="15" fillId="0" borderId="0" xfId="13" applyNumberFormat="1" applyFont="1" applyFill="1" applyAlignment="1" applyProtection="1">
      <alignment horizontal="right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5" fillId="0" borderId="13" xfId="13" applyFont="1" applyFill="1" applyBorder="1" applyAlignment="1" applyProtection="1"/>
    <xf numFmtId="0" fontId="15" fillId="0" borderId="4" xfId="13" applyFont="1" applyFill="1" applyBorder="1" applyAlignment="1" applyProtection="1"/>
    <xf numFmtId="165" fontId="15" fillId="11" borderId="7" xfId="20" applyFont="1" applyFill="1" applyBorder="1" applyAlignment="1" applyProtection="1">
      <protection locked="0"/>
    </xf>
    <xf numFmtId="0" fontId="15" fillId="0" borderId="3" xfId="13" applyFont="1" applyFill="1" applyBorder="1" applyAlignment="1" applyProtection="1">
      <alignment horizontal="left" indent="1"/>
    </xf>
    <xf numFmtId="37" fontId="15" fillId="0" borderId="3" xfId="13" applyNumberFormat="1" applyFont="1" applyFill="1" applyBorder="1" applyAlignment="1" applyProtection="1">
      <alignment horizontal="center"/>
    </xf>
    <xf numFmtId="0" fontId="50" fillId="11" borderId="13" xfId="13" applyFont="1" applyFill="1" applyBorder="1" applyAlignment="1" applyProtection="1">
      <alignment horizontal="center" vertical="center" wrapText="1"/>
    </xf>
    <xf numFmtId="37" fontId="50" fillId="11" borderId="10" xfId="13" applyNumberFormat="1" applyFont="1" applyFill="1" applyBorder="1" applyAlignment="1" applyProtection="1">
      <alignment horizontal="center"/>
    </xf>
    <xf numFmtId="0" fontId="50" fillId="11" borderId="11" xfId="13" applyFont="1" applyFill="1" applyBorder="1" applyAlignment="1" applyProtection="1">
      <alignment horizontal="center" vertical="top" wrapText="1"/>
    </xf>
    <xf numFmtId="37" fontId="50" fillId="11" borderId="11" xfId="13" applyNumberFormat="1" applyFont="1" applyFill="1" applyBorder="1" applyAlignment="1" applyProtection="1">
      <alignment horizontal="center"/>
    </xf>
    <xf numFmtId="37" fontId="50" fillId="11" borderId="11" xfId="13" applyNumberFormat="1" applyFont="1" applyFill="1" applyBorder="1" applyAlignment="1" applyProtection="1">
      <alignment horizontal="center" vertical="top" wrapText="1"/>
    </xf>
    <xf numFmtId="37" fontId="50" fillId="11" borderId="13" xfId="13" applyNumberFormat="1" applyFont="1" applyFill="1" applyBorder="1" applyAlignment="1" applyProtection="1">
      <alignment horizontal="center"/>
    </xf>
    <xf numFmtId="0" fontId="50" fillId="11" borderId="10" xfId="13" applyFont="1" applyFill="1" applyBorder="1" applyAlignment="1" applyProtection="1">
      <alignment horizontal="center"/>
    </xf>
    <xf numFmtId="0" fontId="50" fillId="11" borderId="4" xfId="13" applyFont="1" applyFill="1" applyBorder="1" applyAlignment="1" applyProtection="1">
      <alignment horizontal="center" vertical="center" wrapText="1"/>
    </xf>
    <xf numFmtId="37" fontId="50" fillId="11" borderId="7" xfId="13" applyNumberFormat="1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 vertical="top" wrapText="1"/>
    </xf>
    <xf numFmtId="37" fontId="50" fillId="11" borderId="6" xfId="13" applyNumberFormat="1" applyFont="1" applyFill="1" applyBorder="1" applyAlignment="1" applyProtection="1">
      <alignment horizontal="center"/>
    </xf>
    <xf numFmtId="37" fontId="50" fillId="11" borderId="6" xfId="13" applyNumberFormat="1" applyFont="1" applyFill="1" applyBorder="1" applyAlignment="1" applyProtection="1">
      <alignment horizontal="center" vertical="top" wrapText="1"/>
    </xf>
    <xf numFmtId="37" fontId="50" fillId="11" borderId="0" xfId="13" applyNumberFormat="1" applyFont="1" applyFill="1" applyBorder="1" applyAlignment="1" applyProtection="1">
      <alignment horizontal="center"/>
    </xf>
    <xf numFmtId="0" fontId="50" fillId="11" borderId="7" xfId="13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/>
    </xf>
    <xf numFmtId="49" fontId="52" fillId="11" borderId="0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 vertical="top"/>
    </xf>
    <xf numFmtId="0" fontId="0" fillId="11" borderId="6" xfId="0" applyFill="1" applyBorder="1" applyAlignment="1" applyProtection="1">
      <alignment vertical="top" wrapText="1"/>
    </xf>
    <xf numFmtId="37" fontId="50" fillId="11" borderId="4" xfId="13" applyNumberFormat="1" applyFont="1" applyFill="1" applyBorder="1" applyAlignment="1" applyProtection="1">
      <alignment horizontal="center"/>
    </xf>
    <xf numFmtId="0" fontId="50" fillId="11" borderId="5" xfId="13" applyFont="1" applyFill="1" applyBorder="1" applyAlignment="1" applyProtection="1">
      <alignment horizontal="center" vertical="center" wrapText="1"/>
    </xf>
    <xf numFmtId="37" fontId="50" fillId="11" borderId="9" xfId="13" applyNumberFormat="1" applyFont="1" applyFill="1" applyBorder="1" applyAlignment="1" applyProtection="1">
      <alignment horizontal="center"/>
    </xf>
    <xf numFmtId="0" fontId="50" fillId="11" borderId="9" xfId="13" applyFont="1" applyFill="1" applyBorder="1" applyAlignment="1" applyProtection="1">
      <alignment horizontal="center"/>
    </xf>
    <xf numFmtId="37" fontId="50" fillId="11" borderId="8" xfId="13" applyNumberFormat="1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>
      <alignment horizontal="left" vertical="center" wrapText="1"/>
    </xf>
    <xf numFmtId="165" fontId="15" fillId="0" borderId="7" xfId="20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/>
    <xf numFmtId="165" fontId="15" fillId="0" borderId="7" xfId="20" applyFont="1" applyFill="1" applyBorder="1" applyAlignment="1" applyProtection="1"/>
    <xf numFmtId="49" fontId="15" fillId="0" borderId="3" xfId="13" applyNumberFormat="1" applyFont="1" applyFill="1" applyBorder="1" applyAlignment="1" applyProtection="1">
      <alignment horizontal="left" indent="1"/>
    </xf>
    <xf numFmtId="37" fontId="15" fillId="0" borderId="14" xfId="13" applyNumberFormat="1" applyFont="1" applyFill="1" applyBorder="1" applyAlignment="1" applyProtection="1"/>
    <xf numFmtId="37" fontId="15" fillId="0" borderId="3" xfId="13" applyNumberFormat="1" applyFont="1" applyFill="1" applyBorder="1" applyAlignment="1" applyProtection="1"/>
    <xf numFmtId="0" fontId="50" fillId="11" borderId="11" xfId="13" applyNumberFormat="1" applyFont="1" applyFill="1" applyBorder="1" applyAlignment="1" applyProtection="1">
      <alignment horizontal="center"/>
    </xf>
    <xf numFmtId="37" fontId="50" fillId="11" borderId="15" xfId="13" applyNumberFormat="1" applyFont="1" applyFill="1" applyBorder="1" applyAlignment="1" applyProtection="1">
      <alignment horizontal="center"/>
    </xf>
    <xf numFmtId="49" fontId="15" fillId="0" borderId="5" xfId="13" applyNumberFormat="1" applyFont="1" applyFill="1" applyBorder="1" applyAlignment="1" applyProtection="1"/>
    <xf numFmtId="165" fontId="15" fillId="0" borderId="8" xfId="20" applyFont="1" applyFill="1" applyBorder="1" applyAlignment="1" applyProtection="1"/>
    <xf numFmtId="0" fontId="53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54" fillId="0" borderId="0" xfId="0" applyFont="1" applyProtection="1"/>
    <xf numFmtId="0" fontId="16" fillId="0" borderId="0" xfId="0" applyFont="1" applyFill="1" applyAlignment="1" applyProtection="1"/>
    <xf numFmtId="167" fontId="17" fillId="0" borderId="0" xfId="0" applyNumberFormat="1" applyFont="1" applyFill="1" applyAlignment="1" applyProtection="1">
      <alignment horizontal="right"/>
    </xf>
    <xf numFmtId="0" fontId="16" fillId="11" borderId="14" xfId="0" applyFont="1" applyFill="1" applyBorder="1" applyAlignment="1" applyProtection="1"/>
    <xf numFmtId="0" fontId="56" fillId="11" borderId="0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6" fillId="11" borderId="15" xfId="0" applyFont="1" applyFill="1" applyBorder="1" applyAlignment="1" applyProtection="1"/>
    <xf numFmtId="0" fontId="17" fillId="11" borderId="9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wrapText="1"/>
    </xf>
    <xf numFmtId="165" fontId="16" fillId="0" borderId="6" xfId="20" applyFont="1" applyFill="1" applyBorder="1" applyAlignment="1" applyProtection="1"/>
    <xf numFmtId="0" fontId="16" fillId="10" borderId="0" xfId="0" applyFont="1" applyFill="1" applyAlignment="1" applyProtection="1">
      <alignment wrapText="1"/>
    </xf>
    <xf numFmtId="165" fontId="16" fillId="11" borderId="6" xfId="20" applyFont="1" applyFill="1" applyBorder="1" applyAlignment="1" applyProtection="1">
      <alignment wrapText="1"/>
      <protection locked="0"/>
    </xf>
    <xf numFmtId="165" fontId="16" fillId="11" borderId="7" xfId="20" applyFont="1" applyFill="1" applyBorder="1" applyAlignment="1" applyProtection="1">
      <protection locked="0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6" fillId="11" borderId="6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alignment wrapText="1"/>
    </xf>
    <xf numFmtId="165" fontId="17" fillId="0" borderId="12" xfId="2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6" fillId="10" borderId="0" xfId="0" applyFont="1" applyFill="1" applyBorder="1" applyAlignment="1" applyProtection="1"/>
    <xf numFmtId="165" fontId="16" fillId="0" borderId="10" xfId="20" applyFont="1" applyFill="1" applyBorder="1" applyAlignment="1" applyProtection="1"/>
    <xf numFmtId="165" fontId="17" fillId="11" borderId="7" xfId="20" applyFont="1" applyFill="1" applyBorder="1" applyAlignment="1" applyProtection="1">
      <protection locked="0"/>
    </xf>
    <xf numFmtId="0" fontId="16" fillId="10" borderId="0" xfId="0" applyFont="1" applyFill="1" applyAlignment="1" applyProtection="1"/>
    <xf numFmtId="0" fontId="16" fillId="10" borderId="15" xfId="0" applyFont="1" applyFill="1" applyBorder="1" applyAlignment="1" applyProtection="1"/>
    <xf numFmtId="165" fontId="17" fillId="11" borderId="9" xfId="20" applyFont="1" applyFill="1" applyBorder="1" applyAlignment="1" applyProtection="1">
      <protection locked="0"/>
    </xf>
    <xf numFmtId="165" fontId="16" fillId="11" borderId="9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/>
    <xf numFmtId="165" fontId="17" fillId="0" borderId="12" xfId="20" applyFont="1" applyFill="1" applyBorder="1" applyAlignment="1" applyProtection="1"/>
    <xf numFmtId="0" fontId="54" fillId="0" borderId="0" xfId="0" applyFont="1" applyBorder="1" applyProtection="1"/>
    <xf numFmtId="0" fontId="0" fillId="0" borderId="0" xfId="0" applyBorder="1" applyProtection="1"/>
    <xf numFmtId="0" fontId="17" fillId="11" borderId="11" xfId="0" applyFont="1" applyFill="1" applyBorder="1" applyAlignment="1" applyProtection="1">
      <alignment horizontal="center" vertical="center"/>
    </xf>
    <xf numFmtId="0" fontId="17" fillId="11" borderId="1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 vertical="center"/>
    </xf>
    <xf numFmtId="0" fontId="17" fillId="11" borderId="8" xfId="0" applyFont="1" applyFill="1" applyBorder="1" applyAlignment="1" applyProtection="1">
      <alignment horizontal="center" vertical="center"/>
    </xf>
    <xf numFmtId="0" fontId="17" fillId="11" borderId="15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/>
    <xf numFmtId="165" fontId="16" fillId="0" borderId="11" xfId="20" applyFont="1" applyFill="1" applyBorder="1" applyAlignment="1" applyProtection="1"/>
    <xf numFmtId="165" fontId="16" fillId="0" borderId="13" xfId="20" applyFont="1" applyFill="1" applyBorder="1" applyAlignment="1" applyProtection="1"/>
    <xf numFmtId="165" fontId="15" fillId="11" borderId="4" xfId="20" applyFont="1" applyFill="1" applyBorder="1" applyAlignment="1" applyProtection="1">
      <alignment horizontal="left" vertical="top" wrapText="1"/>
      <protection locked="0"/>
    </xf>
    <xf numFmtId="165" fontId="16" fillId="11" borderId="4" xfId="20" applyFont="1" applyFill="1" applyBorder="1" applyAlignment="1" applyProtection="1">
      <protection locked="0"/>
    </xf>
    <xf numFmtId="165" fontId="16" fillId="0" borderId="4" xfId="20" applyFont="1" applyFill="1" applyBorder="1" applyAlignment="1" applyProtection="1"/>
    <xf numFmtId="165" fontId="16" fillId="0" borderId="7" xfId="20" applyFont="1" applyFill="1" applyBorder="1" applyAlignment="1" applyProtection="1"/>
    <xf numFmtId="165" fontId="16" fillId="11" borderId="7" xfId="20" applyFont="1" applyFill="1" applyBorder="1" applyAlignment="1" applyProtection="1">
      <alignment horizontal="center"/>
      <protection locked="0"/>
    </xf>
    <xf numFmtId="165" fontId="16" fillId="11" borderId="4" xfId="20" applyFont="1" applyFill="1" applyBorder="1" applyAlignment="1" applyProtection="1">
      <alignment horizontal="center"/>
      <protection locked="0"/>
    </xf>
    <xf numFmtId="165" fontId="23" fillId="11" borderId="7" xfId="20" applyFont="1" applyFill="1" applyBorder="1" applyAlignment="1" applyProtection="1">
      <protection locked="0"/>
    </xf>
    <xf numFmtId="165" fontId="23" fillId="11" borderId="9" xfId="20" applyFont="1" applyFill="1" applyBorder="1" applyAlignment="1" applyProtection="1">
      <protection locked="0"/>
    </xf>
    <xf numFmtId="0" fontId="17" fillId="10" borderId="3" xfId="0" applyFont="1" applyFill="1" applyBorder="1" applyAlignment="1" applyProtection="1"/>
    <xf numFmtId="165" fontId="16" fillId="0" borderId="12" xfId="20" applyFont="1" applyFill="1" applyBorder="1" applyAlignment="1" applyProtection="1"/>
    <xf numFmtId="165" fontId="16" fillId="0" borderId="16" xfId="20" applyFont="1" applyFill="1" applyBorder="1" applyAlignment="1" applyProtection="1"/>
    <xf numFmtId="165" fontId="11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11" borderId="0" xfId="0" applyFont="1" applyFill="1" applyBorder="1" applyAlignment="1" applyProtection="1">
      <alignment horizontal="center" vertical="center"/>
    </xf>
    <xf numFmtId="0" fontId="16" fillId="10" borderId="14" xfId="0" applyFont="1" applyFill="1" applyBorder="1" applyAlignment="1" applyProtection="1">
      <alignment horizontal="left"/>
    </xf>
    <xf numFmtId="165" fontId="16" fillId="11" borderId="11" xfId="20" applyFont="1" applyFill="1" applyBorder="1" applyAlignment="1" applyProtection="1">
      <alignment horizontal="left"/>
      <protection locked="0"/>
    </xf>
    <xf numFmtId="165" fontId="16" fillId="11" borderId="13" xfId="20" applyFont="1" applyFill="1" applyBorder="1" applyAlignment="1" applyProtection="1">
      <alignment horizontal="left"/>
      <protection locked="0"/>
    </xf>
    <xf numFmtId="0" fontId="16" fillId="10" borderId="0" xfId="0" applyFont="1" applyFill="1" applyBorder="1" applyAlignment="1" applyProtection="1">
      <alignment horizontal="left"/>
    </xf>
    <xf numFmtId="165" fontId="16" fillId="11" borderId="6" xfId="20" applyFont="1" applyFill="1" applyBorder="1" applyAlignment="1" applyProtection="1">
      <alignment horizontal="left"/>
      <protection locked="0"/>
    </xf>
    <xf numFmtId="165" fontId="16" fillId="11" borderId="4" xfId="20" applyFont="1" applyFill="1" applyBorder="1" applyAlignment="1" applyProtection="1">
      <alignment horizontal="left"/>
      <protection locked="0"/>
    </xf>
    <xf numFmtId="165" fontId="16" fillId="11" borderId="0" xfId="20" applyFont="1" applyFill="1" applyBorder="1" applyAlignment="1" applyProtection="1">
      <alignment horizontal="center"/>
      <protection locked="0"/>
    </xf>
    <xf numFmtId="165" fontId="16" fillId="10" borderId="6" xfId="20" applyFont="1" applyFill="1" applyBorder="1" applyAlignment="1" applyProtection="1">
      <alignment horizontal="left"/>
    </xf>
    <xf numFmtId="165" fontId="16" fillId="10" borderId="7" xfId="20" applyFont="1" applyFill="1" applyBorder="1" applyAlignment="1" applyProtection="1">
      <alignment horizontal="left"/>
    </xf>
    <xf numFmtId="0" fontId="16" fillId="10" borderId="0" xfId="0" applyFont="1" applyFill="1" applyProtection="1"/>
    <xf numFmtId="0" fontId="0" fillId="11" borderId="17" xfId="0" applyFill="1" applyBorder="1" applyProtection="1">
      <protection locked="0"/>
    </xf>
    <xf numFmtId="0" fontId="16" fillId="10" borderId="4" xfId="0" applyFont="1" applyFill="1" applyBorder="1" applyProtection="1"/>
    <xf numFmtId="165" fontId="16" fillId="11" borderId="0" xfId="20" applyFont="1" applyFill="1" applyBorder="1" applyAlignment="1" applyProtection="1">
      <protection locked="0"/>
    </xf>
    <xf numFmtId="0" fontId="16" fillId="10" borderId="4" xfId="0" applyFont="1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 wrapText="1"/>
    </xf>
    <xf numFmtId="165" fontId="16" fillId="11" borderId="7" xfId="20" applyFont="1" applyFill="1" applyBorder="1" applyAlignment="1" applyProtection="1">
      <alignment horizontal="center" vertical="center"/>
      <protection locked="0"/>
    </xf>
    <xf numFmtId="165" fontId="16" fillId="11" borderId="0" xfId="20" applyFont="1" applyFill="1" applyBorder="1" applyAlignment="1" applyProtection="1">
      <alignment horizontal="center" vertical="center"/>
      <protection locked="0"/>
    </xf>
    <xf numFmtId="0" fontId="16" fillId="10" borderId="4" xfId="0" applyFont="1" applyFill="1" applyBorder="1" applyAlignment="1" applyProtection="1">
      <alignment horizontal="left" wrapText="1"/>
    </xf>
    <xf numFmtId="0" fontId="16" fillId="10" borderId="15" xfId="0" applyFont="1" applyFill="1" applyBorder="1" applyAlignment="1" applyProtection="1">
      <alignment horizontal="left" wrapText="1"/>
    </xf>
    <xf numFmtId="0" fontId="17" fillId="10" borderId="3" xfId="0" applyFont="1" applyFill="1" applyBorder="1" applyAlignment="1" applyProtection="1">
      <alignment wrapText="1"/>
    </xf>
    <xf numFmtId="0" fontId="17" fillId="10" borderId="0" xfId="0" applyFont="1" applyFill="1" applyBorder="1" applyAlignment="1" applyProtection="1">
      <alignment horizontal="left" vertical="center" wrapText="1"/>
    </xf>
    <xf numFmtId="165" fontId="17" fillId="10" borderId="16" xfId="20" applyFont="1" applyFill="1" applyBorder="1" applyAlignment="1" applyProtection="1">
      <alignment horizontal="center" vertical="center" wrapText="1"/>
    </xf>
    <xf numFmtId="0" fontId="16" fillId="14" borderId="9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54" fillId="0" borderId="15" xfId="0" applyFont="1" applyBorder="1" applyProtection="1"/>
    <xf numFmtId="0" fontId="0" fillId="0" borderId="15" xfId="0" applyBorder="1" applyProtection="1"/>
    <xf numFmtId="0" fontId="54" fillId="0" borderId="3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left" vertical="center" wrapText="1"/>
    </xf>
    <xf numFmtId="165" fontId="17" fillId="11" borderId="11" xfId="20" applyFont="1" applyFill="1" applyBorder="1" applyAlignment="1" applyProtection="1">
      <alignment vertical="center" wrapText="1"/>
      <protection locked="0"/>
    </xf>
    <xf numFmtId="165" fontId="17" fillId="11" borderId="13" xfId="20" applyFont="1" applyFill="1" applyBorder="1" applyAlignment="1" applyProtection="1">
      <alignment vertical="center" wrapText="1"/>
      <protection locked="0"/>
    </xf>
    <xf numFmtId="165" fontId="16" fillId="11" borderId="11" xfId="20" applyFont="1" applyFill="1" applyBorder="1" applyAlignment="1" applyProtection="1">
      <protection locked="0"/>
    </xf>
    <xf numFmtId="165" fontId="16" fillId="11" borderId="13" xfId="20" applyFont="1" applyFill="1" applyBorder="1" applyAlignment="1" applyProtection="1"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7" fillId="11" borderId="6" xfId="20" applyFont="1" applyFill="1" applyBorder="1" applyAlignment="1" applyProtection="1">
      <alignment vertical="center" wrapText="1"/>
      <protection locked="0"/>
    </xf>
    <xf numFmtId="165" fontId="17" fillId="11" borderId="4" xfId="20" applyFont="1" applyFill="1" applyBorder="1" applyAlignment="1" applyProtection="1">
      <alignment vertical="center" wrapText="1"/>
      <protection locked="0"/>
    </xf>
    <xf numFmtId="0" fontId="60" fillId="10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Fill="1" applyBorder="1" applyAlignment="1" applyProtection="1">
      <alignment horizontal="left" wrapText="1"/>
      <protection locked="0"/>
    </xf>
    <xf numFmtId="165" fontId="17" fillId="0" borderId="8" xfId="2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wrapText="1"/>
    </xf>
    <xf numFmtId="0" fontId="16" fillId="0" borderId="15" xfId="0" applyFont="1" applyFill="1" applyBorder="1" applyAlignment="1" applyProtection="1">
      <alignment horizontal="center"/>
    </xf>
    <xf numFmtId="0" fontId="16" fillId="0" borderId="15" xfId="0" applyFont="1" applyFill="1" applyBorder="1" applyAlignment="1" applyProtection="1"/>
    <xf numFmtId="0" fontId="60" fillId="10" borderId="14" xfId="0" applyFont="1" applyFill="1" applyBorder="1" applyAlignment="1" applyProtection="1">
      <alignment horizontal="left" vertical="center" wrapText="1"/>
      <protection locked="0"/>
    </xf>
    <xf numFmtId="0" fontId="61" fillId="10" borderId="13" xfId="0" applyFont="1" applyFill="1" applyBorder="1" applyAlignment="1" applyProtection="1">
      <alignment horizontal="center" vertical="center" wrapText="1"/>
      <protection locked="0"/>
    </xf>
    <xf numFmtId="0" fontId="60" fillId="10" borderId="0" xfId="0" applyFont="1" applyFill="1" applyBorder="1" applyAlignment="1" applyProtection="1">
      <alignment horizontal="left" vertical="center" wrapText="1"/>
      <protection locked="0"/>
    </xf>
    <xf numFmtId="0" fontId="61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15" xfId="0" applyFont="1" applyFill="1" applyBorder="1" applyAlignment="1" applyProtection="1">
      <alignment horizontal="left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61" fillId="10" borderId="14" xfId="0" applyFont="1" applyFill="1" applyBorder="1" applyAlignment="1" applyProtection="1">
      <alignment horizontal="center" vertical="center" wrapText="1"/>
      <protection locked="0"/>
    </xf>
    <xf numFmtId="0" fontId="61" fillId="10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/>
    <xf numFmtId="0" fontId="56" fillId="11" borderId="14" xfId="0" applyFont="1" applyFill="1" applyBorder="1" applyAlignment="1" applyProtection="1">
      <alignment horizontal="center"/>
    </xf>
    <xf numFmtId="0" fontId="16" fillId="11" borderId="0" xfId="0" applyFont="1" applyFill="1" applyBorder="1" applyAlignment="1" applyProtection="1">
      <alignment horizontal="center"/>
    </xf>
    <xf numFmtId="0" fontId="17" fillId="11" borderId="14" xfId="0" applyFont="1" applyFill="1" applyBorder="1" applyAlignment="1" applyProtection="1">
      <alignment horizontal="center"/>
    </xf>
    <xf numFmtId="0" fontId="17" fillId="11" borderId="15" xfId="0" applyFont="1" applyFill="1" applyBorder="1" applyAlignment="1" applyProtection="1">
      <alignment horizontal="center" vertical="center" wrapText="1"/>
    </xf>
    <xf numFmtId="165" fontId="23" fillId="11" borderId="10" xfId="20" applyFont="1" applyFill="1" applyBorder="1" applyAlignment="1" applyProtection="1">
      <protection locked="0"/>
    </xf>
    <xf numFmtId="165" fontId="16" fillId="11" borderId="8" xfId="20" applyFont="1" applyFill="1" applyBorder="1" applyAlignment="1" applyProtection="1">
      <protection locked="0"/>
    </xf>
    <xf numFmtId="165" fontId="17" fillId="14" borderId="12" xfId="20" applyFont="1" applyFill="1" applyBorder="1" applyAlignment="1" applyProtection="1"/>
    <xf numFmtId="165" fontId="17" fillId="0" borderId="16" xfId="20" applyFont="1" applyFill="1" applyBorder="1" applyAlignment="1" applyProtection="1"/>
    <xf numFmtId="0" fontId="58" fillId="0" borderId="0" xfId="0" applyFont="1" applyFill="1" applyBorder="1" applyAlignment="1" applyProtection="1"/>
    <xf numFmtId="0" fontId="58" fillId="0" borderId="0" xfId="0" applyFont="1" applyFill="1" applyAlignment="1" applyProtection="1"/>
    <xf numFmtId="0" fontId="71" fillId="0" borderId="0" xfId="13" applyProtection="1"/>
    <xf numFmtId="0" fontId="53" fillId="0" borderId="0" xfId="13" applyNumberFormat="1" applyFont="1" applyFill="1" applyAlignment="1" applyProtection="1"/>
    <xf numFmtId="0" fontId="16" fillId="0" borderId="0" xfId="13" applyFont="1" applyFill="1" applyAlignment="1" applyProtection="1">
      <alignment horizontal="center"/>
    </xf>
    <xf numFmtId="0" fontId="54" fillId="0" borderId="0" xfId="13" applyFont="1" applyProtection="1"/>
    <xf numFmtId="0" fontId="16" fillId="0" borderId="0" xfId="13" applyFont="1" applyFill="1" applyAlignment="1" applyProtection="1"/>
    <xf numFmtId="0" fontId="16" fillId="10" borderId="0" xfId="13" applyFont="1" applyFill="1" applyProtection="1"/>
    <xf numFmtId="167" fontId="16" fillId="0" borderId="0" xfId="13" applyNumberFormat="1" applyFont="1" applyFill="1" applyAlignment="1" applyProtection="1">
      <alignment horizontal="right"/>
    </xf>
    <xf numFmtId="0" fontId="16" fillId="0" borderId="0" xfId="13" applyFont="1" applyAlignment="1" applyProtection="1">
      <alignment horizontal="right"/>
    </xf>
    <xf numFmtId="0" fontId="56" fillId="11" borderId="13" xfId="13" applyFont="1" applyFill="1" applyBorder="1" applyAlignment="1" applyProtection="1">
      <alignment horizontal="center" vertical="center" wrapText="1"/>
    </xf>
    <xf numFmtId="0" fontId="56" fillId="11" borderId="4" xfId="13" applyFont="1" applyFill="1" applyBorder="1" applyAlignment="1" applyProtection="1">
      <alignment horizontal="center" vertical="center"/>
      <protection locked="0"/>
    </xf>
    <xf numFmtId="0" fontId="17" fillId="11" borderId="11" xfId="13" applyFont="1" applyFill="1" applyBorder="1" applyAlignment="1" applyProtection="1">
      <alignment horizontal="center" vertical="center"/>
    </xf>
    <xf numFmtId="0" fontId="17" fillId="11" borderId="14" xfId="13" applyFont="1" applyFill="1" applyBorder="1" applyAlignment="1" applyProtection="1">
      <alignment horizontal="center" vertical="center"/>
    </xf>
    <xf numFmtId="0" fontId="16" fillId="11" borderId="0" xfId="13" applyFont="1" applyFill="1" applyBorder="1" applyAlignment="1" applyProtection="1">
      <alignment horizontal="center"/>
    </xf>
    <xf numFmtId="0" fontId="17" fillId="11" borderId="8" xfId="13" applyFont="1" applyFill="1" applyBorder="1" applyAlignment="1" applyProtection="1">
      <alignment horizontal="center"/>
    </xf>
    <xf numFmtId="0" fontId="17" fillId="11" borderId="15" xfId="13" applyFont="1" applyFill="1" applyBorder="1" applyAlignment="1" applyProtection="1">
      <alignment horizontal="center"/>
    </xf>
    <xf numFmtId="0" fontId="16" fillId="0" borderId="14" xfId="13" applyFont="1" applyFill="1" applyBorder="1" applyAlignment="1" applyProtection="1"/>
    <xf numFmtId="165" fontId="16" fillId="0" borderId="10" xfId="20" applyFont="1" applyFill="1" applyBorder="1" applyAlignment="1" applyProtection="1">
      <alignment horizontal="center"/>
    </xf>
    <xf numFmtId="0" fontId="16" fillId="0" borderId="0" xfId="13" applyFont="1" applyFill="1" applyBorder="1" applyAlignment="1" applyProtection="1"/>
    <xf numFmtId="165" fontId="16" fillId="0" borderId="7" xfId="20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/>
    <xf numFmtId="165" fontId="16" fillId="0" borderId="12" xfId="13" applyNumberFormat="1" applyFont="1" applyFill="1" applyBorder="1" applyAlignment="1" applyProtection="1">
      <alignment horizontal="center"/>
    </xf>
    <xf numFmtId="165" fontId="16" fillId="0" borderId="12" xfId="20" applyFont="1" applyFill="1" applyBorder="1" applyAlignment="1" applyProtection="1">
      <alignment horizontal="center"/>
    </xf>
    <xf numFmtId="165" fontId="16" fillId="0" borderId="16" xfId="13" applyNumberFormat="1" applyFont="1" applyFill="1" applyBorder="1" applyAlignment="1" applyProtection="1">
      <alignment horizontal="center"/>
    </xf>
    <xf numFmtId="0" fontId="17" fillId="11" borderId="11" xfId="13" applyFont="1" applyFill="1" applyBorder="1" applyAlignment="1" applyProtection="1">
      <alignment horizontal="center"/>
    </xf>
    <xf numFmtId="0" fontId="17" fillId="11" borderId="14" xfId="13" applyFont="1" applyFill="1" applyBorder="1" applyAlignment="1" applyProtection="1">
      <alignment horizontal="center"/>
    </xf>
    <xf numFmtId="0" fontId="16" fillId="10" borderId="0" xfId="13" applyFont="1" applyFill="1" applyBorder="1" applyAlignment="1" applyProtection="1">
      <alignment horizontal="left"/>
    </xf>
    <xf numFmtId="0" fontId="16" fillId="10" borderId="14" xfId="13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/>
    </xf>
    <xf numFmtId="165" fontId="0" fillId="11" borderId="10" xfId="20" applyFont="1" applyFill="1" applyBorder="1" applyAlignment="1" applyProtection="1">
      <protection locked="0"/>
    </xf>
    <xf numFmtId="0" fontId="16" fillId="10" borderId="0" xfId="13" applyFont="1" applyFill="1" applyBorder="1" applyProtection="1"/>
    <xf numFmtId="0" fontId="17" fillId="10" borderId="3" xfId="13" applyFont="1" applyFill="1" applyBorder="1" applyAlignment="1" applyProtection="1">
      <alignment wrapText="1"/>
    </xf>
    <xf numFmtId="0" fontId="16" fillId="0" borderId="15" xfId="13" applyFont="1" applyFill="1" applyBorder="1" applyAlignment="1" applyProtection="1"/>
    <xf numFmtId="0" fontId="16" fillId="0" borderId="3" xfId="13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>
      <alignment horizontal="left" vertical="center" wrapText="1"/>
    </xf>
    <xf numFmtId="0" fontId="17" fillId="10" borderId="3" xfId="13" applyFont="1" applyFill="1" applyBorder="1" applyAlignment="1" applyProtection="1">
      <alignment horizontal="center" vertical="center" wrapText="1"/>
    </xf>
    <xf numFmtId="165" fontId="16" fillId="0" borderId="9" xfId="13" applyNumberFormat="1" applyFont="1" applyFill="1" applyBorder="1" applyAlignment="1" applyProtection="1">
      <alignment horizontal="center" vertical="center"/>
    </xf>
    <xf numFmtId="165" fontId="16" fillId="0" borderId="16" xfId="13" applyNumberFormat="1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62" fillId="0" borderId="0" xfId="0" applyFont="1" applyFill="1" applyProtection="1"/>
    <xf numFmtId="0" fontId="15" fillId="0" borderId="0" xfId="0" applyFont="1" applyFill="1" applyProtection="1"/>
    <xf numFmtId="0" fontId="63" fillId="0" borderId="0" xfId="0" applyFont="1" applyFill="1" applyProtection="1"/>
    <xf numFmtId="0" fontId="64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50" fillId="11" borderId="14" xfId="0" applyFont="1" applyFill="1" applyBorder="1" applyAlignment="1" applyProtection="1">
      <alignment horizontal="left" vertical="top"/>
    </xf>
    <xf numFmtId="167" fontId="50" fillId="11" borderId="14" xfId="0" applyNumberFormat="1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horizontal="justify" wrapText="1"/>
    </xf>
    <xf numFmtId="0" fontId="23" fillId="0" borderId="0" xfId="0" applyFont="1" applyFill="1" applyBorder="1" applyProtection="1"/>
    <xf numFmtId="0" fontId="63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50" fillId="11" borderId="13" xfId="0" applyFont="1" applyFill="1" applyBorder="1" applyAlignment="1" applyProtection="1">
      <alignment horizontal="center" vertical="top" wrapText="1"/>
    </xf>
    <xf numFmtId="0" fontId="64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Alignment="1" applyProtection="1">
      <alignment vertical="top"/>
    </xf>
    <xf numFmtId="0" fontId="52" fillId="11" borderId="0" xfId="0" applyFont="1" applyFill="1" applyBorder="1" applyAlignment="1" applyProtection="1">
      <alignment horizontal="center" vertical="center" wrapText="1"/>
    </xf>
    <xf numFmtId="0" fontId="50" fillId="11" borderId="15" xfId="0" applyFont="1" applyFill="1" applyBorder="1" applyAlignment="1" applyProtection="1">
      <alignment horizontal="center" vertical="center" wrapText="1"/>
    </xf>
    <xf numFmtId="0" fontId="50" fillId="11" borderId="9" xfId="0" applyFont="1" applyFill="1" applyBorder="1" applyAlignment="1" applyProtection="1">
      <alignment horizontal="center" vertical="top" wrapText="1"/>
    </xf>
    <xf numFmtId="165" fontId="15" fillId="11" borderId="7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6" xfId="20" applyNumberFormat="1" applyFont="1" applyFill="1" applyBorder="1" applyAlignment="1" applyProtection="1">
      <alignment horizontal="right" vertical="top" wrapText="1"/>
      <protection locked="0"/>
    </xf>
    <xf numFmtId="0" fontId="64" fillId="0" borderId="0" xfId="0" applyFont="1" applyFill="1" applyBorder="1" applyAlignment="1" applyProtection="1">
      <alignment vertical="top" wrapText="1"/>
    </xf>
    <xf numFmtId="165" fontId="15" fillId="0" borderId="16" xfId="20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1" borderId="16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12" xfId="20" applyNumberFormat="1" applyFont="1" applyFill="1" applyBorder="1" applyAlignment="1" applyProtection="1">
      <alignment horizontal="right" vertical="top" wrapText="1"/>
      <protection locked="0"/>
    </xf>
    <xf numFmtId="165" fontId="64" fillId="0" borderId="0" xfId="0" applyNumberFormat="1" applyFont="1" applyFill="1" applyBorder="1" applyAlignment="1" applyProtection="1">
      <alignment vertical="top" wrapText="1"/>
    </xf>
    <xf numFmtId="10" fontId="15" fillId="0" borderId="16" xfId="16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5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/>
    <xf numFmtId="167" fontId="15" fillId="0" borderId="0" xfId="0" applyNumberFormat="1" applyFont="1" applyFill="1" applyAlignment="1" applyProtection="1">
      <alignment horizontal="right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65" fontId="15" fillId="11" borderId="4" xfId="20" applyFont="1" applyFill="1" applyBorder="1" applyAlignment="1" applyProtection="1">
      <alignment horizontal="center"/>
      <protection locked="0"/>
    </xf>
    <xf numFmtId="165" fontId="15" fillId="11" borderId="7" xfId="20" applyFont="1" applyFill="1" applyBorder="1" applyAlignment="1" applyProtection="1">
      <alignment horizontal="center"/>
      <protection locked="0"/>
    </xf>
    <xf numFmtId="165" fontId="15" fillId="11" borderId="0" xfId="2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50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8" fillId="0" borderId="0" xfId="0" applyFont="1" applyFill="1" applyBorder="1" applyAlignment="1" applyProtection="1"/>
    <xf numFmtId="37" fontId="68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50" fillId="11" borderId="11" xfId="0" applyFont="1" applyFill="1" applyBorder="1" applyAlignment="1" applyProtection="1">
      <alignment horizontal="center"/>
    </xf>
    <xf numFmtId="0" fontId="50" fillId="11" borderId="6" xfId="0" applyFont="1" applyFill="1" applyBorder="1" applyAlignment="1" applyProtection="1">
      <alignment horizontal="center"/>
    </xf>
    <xf numFmtId="0" fontId="50" fillId="11" borderId="8" xfId="0" applyFont="1" applyFill="1" applyBorder="1" applyAlignment="1" applyProtection="1">
      <alignment horizontal="center"/>
    </xf>
    <xf numFmtId="165" fontId="15" fillId="11" borderId="4" xfId="20" applyFont="1" applyFill="1" applyBorder="1" applyAlignment="1" applyProtection="1">
      <protection locked="0"/>
    </xf>
    <xf numFmtId="165" fontId="15" fillId="11" borderId="5" xfId="20" applyFont="1" applyFill="1" applyBorder="1" applyAlignment="1" applyProtection="1">
      <protection locked="0"/>
    </xf>
    <xf numFmtId="165" fontId="15" fillId="11" borderId="9" xfId="20" applyFont="1" applyFill="1" applyBorder="1" applyAlignment="1" applyProtection="1">
      <protection locked="0"/>
    </xf>
    <xf numFmtId="0" fontId="50" fillId="11" borderId="10" xfId="0" applyFont="1" applyFill="1" applyBorder="1" applyAlignment="1" applyProtection="1">
      <alignment horizontal="center"/>
    </xf>
    <xf numFmtId="0" fontId="50" fillId="11" borderId="9" xfId="0" applyFont="1" applyFill="1" applyBorder="1" applyAlignment="1" applyProtection="1">
      <alignment horizontal="center"/>
    </xf>
    <xf numFmtId="165" fontId="15" fillId="0" borderId="4" xfId="20" applyFont="1" applyFill="1" applyBorder="1" applyAlignment="1" applyProtection="1"/>
    <xf numFmtId="165" fontId="15" fillId="11" borderId="6" xfId="20" applyFont="1" applyFill="1" applyBorder="1" applyAlignment="1" applyProtection="1">
      <protection locked="0"/>
    </xf>
    <xf numFmtId="165" fontId="15" fillId="11" borderId="7" xfId="20" applyNumberFormat="1" applyFont="1" applyFill="1" applyBorder="1" applyAlignment="1" applyProtection="1">
      <protection locked="0"/>
    </xf>
    <xf numFmtId="165" fontId="15" fillId="11" borderId="6" xfId="20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20" applyFont="1" applyFill="1" applyBorder="1" applyAlignment="1" applyProtection="1"/>
    <xf numFmtId="0" fontId="50" fillId="11" borderId="13" xfId="0" applyFont="1" applyFill="1" applyBorder="1" applyAlignment="1" applyProtection="1">
      <alignment horizontal="center"/>
    </xf>
    <xf numFmtId="0" fontId="50" fillId="11" borderId="4" xfId="0" applyFont="1" applyFill="1" applyBorder="1" applyAlignment="1" applyProtection="1">
      <alignment horizontal="center"/>
    </xf>
    <xf numFmtId="0" fontId="50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37" fontId="50" fillId="11" borderId="12" xfId="0" applyNumberFormat="1" applyFont="1" applyFill="1" applyBorder="1" applyAlignment="1" applyProtection="1">
      <alignment horizontal="center" vertical="center"/>
    </xf>
    <xf numFmtId="165" fontId="15" fillId="11" borderId="2" xfId="20" applyFont="1" applyFill="1" applyBorder="1" applyAlignment="1" applyProtection="1">
      <protection locked="0"/>
    </xf>
    <xf numFmtId="10" fontId="15" fillId="11" borderId="12" xfId="16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69" fillId="11" borderId="0" xfId="0" applyFont="1" applyFill="1" applyAlignment="1" applyProtection="1">
      <alignment horizontal="center" vertical="center"/>
    </xf>
    <xf numFmtId="0" fontId="70" fillId="0" borderId="2" xfId="0" applyFont="1" applyFill="1" applyBorder="1" applyProtection="1"/>
    <xf numFmtId="0" fontId="25" fillId="0" borderId="0" xfId="0" applyFont="1" applyBorder="1" applyAlignment="1" applyProtection="1">
      <alignment vertical="center" wrapText="1"/>
    </xf>
    <xf numFmtId="0" fontId="71" fillId="16" borderId="0" xfId="13" applyFill="1" applyBorder="1" applyAlignment="1" applyProtection="1">
      <alignment vertical="center"/>
      <protection locked="0"/>
    </xf>
    <xf numFmtId="0" fontId="71" fillId="0" borderId="0" xfId="13" applyBorder="1" applyAlignment="1" applyProtection="1">
      <alignment vertical="center"/>
      <protection locked="0"/>
    </xf>
    <xf numFmtId="14" fontId="71" fillId="16" borderId="0" xfId="13" applyNumberFormat="1" applyFill="1" applyBorder="1" applyAlignment="1" applyProtection="1">
      <alignment vertical="center"/>
      <protection locked="0"/>
    </xf>
    <xf numFmtId="0" fontId="71" fillId="0" borderId="15" xfId="13" applyBorder="1" applyAlignment="1" applyProtection="1">
      <alignment vertical="center"/>
      <protection locked="0"/>
    </xf>
    <xf numFmtId="14" fontId="71" fillId="11" borderId="0" xfId="13" applyNumberFormat="1" applyFill="1" applyBorder="1" applyAlignment="1" applyProtection="1">
      <alignment vertical="center"/>
      <protection locked="0"/>
    </xf>
    <xf numFmtId="14" fontId="0" fillId="11" borderId="0" xfId="13" applyNumberFormat="1" applyFont="1" applyFill="1" applyBorder="1" applyAlignment="1" applyProtection="1">
      <alignment vertical="center"/>
      <protection locked="0"/>
    </xf>
    <xf numFmtId="0" fontId="71" fillId="16" borderId="0" xfId="13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13" applyNumberFormat="1" applyFont="1" applyFill="1" applyBorder="1" applyAlignment="1" applyProtection="1">
      <alignment horizontal="center" vertical="center"/>
      <protection locked="0"/>
    </xf>
    <xf numFmtId="0" fontId="18" fillId="0" borderId="0" xfId="13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2" fillId="17" borderId="0" xfId="13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/>
      <protection locked="0"/>
    </xf>
    <xf numFmtId="165" fontId="25" fillId="11" borderId="8" xfId="20" applyFont="1" applyFill="1" applyBorder="1" applyAlignment="1" applyProtection="1">
      <alignment horizontal="center"/>
      <protection locked="0"/>
    </xf>
    <xf numFmtId="165" fontId="25" fillId="7" borderId="11" xfId="20" applyFont="1" applyFill="1" applyBorder="1" applyAlignment="1" applyProtection="1">
      <alignment horizontal="center"/>
    </xf>
    <xf numFmtId="165" fontId="25" fillId="8" borderId="6" xfId="20" applyFont="1" applyFill="1" applyBorder="1" applyAlignment="1" applyProtection="1">
      <alignment horizontal="center"/>
    </xf>
    <xf numFmtId="0" fontId="26" fillId="11" borderId="11" xfId="0" applyNumberFormat="1" applyFont="1" applyFill="1" applyBorder="1" applyAlignment="1" applyProtection="1">
      <alignment horizontal="center" vertical="center"/>
    </xf>
    <xf numFmtId="0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1" xfId="13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8" xfId="13" applyNumberFormat="1" applyFont="1" applyFill="1" applyBorder="1" applyAlignment="1" applyProtection="1">
      <alignment horizontal="center" vertical="center" wrapText="1"/>
    </xf>
    <xf numFmtId="0" fontId="26" fillId="11" borderId="2" xfId="0" applyNumberFormat="1" applyFont="1" applyFill="1" applyBorder="1" applyAlignment="1" applyProtection="1">
      <alignment horizontal="center" vertical="center"/>
    </xf>
    <xf numFmtId="0" fontId="26" fillId="11" borderId="12" xfId="0" applyNumberFormat="1" applyFont="1" applyFill="1" applyBorder="1" applyAlignment="1" applyProtection="1">
      <alignment horizontal="center"/>
    </xf>
    <xf numFmtId="165" fontId="25" fillId="7" borderId="6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49" fontId="26" fillId="11" borderId="8" xfId="0" applyNumberFormat="1" applyFont="1" applyFill="1" applyBorder="1" applyAlignment="1" applyProtection="1">
      <alignment horizontal="center"/>
    </xf>
    <xf numFmtId="165" fontId="25" fillId="11" borderId="11" xfId="2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 wrapText="1"/>
    </xf>
    <xf numFmtId="49" fontId="26" fillId="11" borderId="6" xfId="0" applyNumberFormat="1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65" fontId="26" fillId="11" borderId="6" xfId="20" applyFont="1" applyFill="1" applyBorder="1" applyAlignment="1" applyProtection="1">
      <alignment horizontal="center"/>
      <protection locked="0"/>
    </xf>
    <xf numFmtId="0" fontId="26" fillId="11" borderId="11" xfId="0" applyNumberFormat="1" applyFont="1" applyFill="1" applyBorder="1" applyAlignment="1" applyProtection="1">
      <alignment horizontal="center" wrapText="1"/>
    </xf>
    <xf numFmtId="165" fontId="25" fillId="11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 vertical="center"/>
      <protection locked="0"/>
    </xf>
    <xf numFmtId="165" fontId="25" fillId="0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</xf>
    <xf numFmtId="165" fontId="25" fillId="11" borderId="8" xfId="20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/>
    </xf>
    <xf numFmtId="49" fontId="25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7" fillId="11" borderId="2" xfId="0" applyFont="1" applyFill="1" applyBorder="1" applyAlignment="1" applyProtection="1">
      <alignment horizontal="center" vertical="center"/>
    </xf>
    <xf numFmtId="49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 vertical="center"/>
    </xf>
    <xf numFmtId="0" fontId="25" fillId="0" borderId="0" xfId="13" applyNumberFormat="1" applyFont="1" applyFill="1" applyBorder="1" applyAlignment="1" applyProtection="1">
      <alignment horizontal="center" wrapText="1"/>
    </xf>
    <xf numFmtId="0" fontId="27" fillId="11" borderId="2" xfId="0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12" xfId="13" applyNumberFormat="1" applyFont="1" applyFill="1" applyBorder="1" applyAlignment="1" applyProtection="1">
      <alignment horizontal="center" wrapText="1"/>
    </xf>
    <xf numFmtId="49" fontId="26" fillId="0" borderId="0" xfId="0" applyNumberFormat="1" applyFont="1" applyFill="1" applyBorder="1" applyAlignment="1" applyProtection="1">
      <alignment horizontal="center"/>
    </xf>
    <xf numFmtId="0" fontId="26" fillId="11" borderId="2" xfId="0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/>
    </xf>
    <xf numFmtId="49" fontId="32" fillId="11" borderId="12" xfId="0" applyNumberFormat="1" applyFont="1" applyFill="1" applyBorder="1" applyAlignment="1" applyProtection="1">
      <alignment horizontal="center" vertical="center" wrapText="1"/>
    </xf>
    <xf numFmtId="0" fontId="32" fillId="11" borderId="10" xfId="0" applyFont="1" applyFill="1" applyBorder="1" applyAlignment="1" applyProtection="1">
      <alignment horizontal="center" vertical="center" wrapText="1"/>
    </xf>
    <xf numFmtId="165" fontId="25" fillId="11" borderId="8" xfId="2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65" fontId="25" fillId="11" borderId="11" xfId="20" applyNumberFormat="1" applyFont="1" applyFill="1" applyBorder="1" applyAlignment="1" applyProtection="1">
      <alignment horizontal="center"/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11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 vertical="center" wrapText="1"/>
    </xf>
    <xf numFmtId="37" fontId="27" fillId="11" borderId="3" xfId="0" applyNumberFormat="1" applyFont="1" applyFill="1" applyBorder="1" applyAlignment="1" applyProtection="1">
      <alignment horizontal="center" vertical="center"/>
    </xf>
    <xf numFmtId="0" fontId="26" fillId="11" borderId="12" xfId="0" applyFont="1" applyFill="1" applyBorder="1" applyAlignment="1" applyProtection="1">
      <alignment horizontal="center" vertical="center" wrapText="1"/>
    </xf>
    <xf numFmtId="37" fontId="26" fillId="11" borderId="2" xfId="0" applyNumberFormat="1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  <protection locked="0"/>
    </xf>
    <xf numFmtId="165" fontId="25" fillId="0" borderId="6" xfId="20" applyFont="1" applyFill="1" applyBorder="1" applyAlignment="1" applyProtection="1">
      <alignment horizontal="center" wrapText="1"/>
    </xf>
    <xf numFmtId="165" fontId="25" fillId="7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  <protection locked="0"/>
    </xf>
    <xf numFmtId="165" fontId="25" fillId="8" borderId="6" xfId="20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vertical="top"/>
    </xf>
    <xf numFmtId="0" fontId="27" fillId="11" borderId="5" xfId="0" applyFont="1" applyFill="1" applyBorder="1" applyAlignment="1" applyProtection="1">
      <alignment horizontal="center" vertical="center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 wrapText="1"/>
    </xf>
    <xf numFmtId="0" fontId="26" fillId="11" borderId="8" xfId="0" applyFont="1" applyFill="1" applyBorder="1" applyAlignment="1" applyProtection="1">
      <alignment horizontal="center" vertical="center"/>
    </xf>
    <xf numFmtId="165" fontId="25" fillId="11" borderId="11" xfId="20" applyFont="1" applyFill="1" applyBorder="1" applyAlignment="1" applyProtection="1">
      <alignment horizontal="center" wrapText="1"/>
      <protection locked="0"/>
    </xf>
    <xf numFmtId="165" fontId="25" fillId="11" borderId="11" xfId="20" applyFont="1" applyFill="1" applyBorder="1" applyAlignment="1" applyProtection="1">
      <alignment horizontal="center" vertical="top" wrapText="1"/>
      <protection locked="0"/>
    </xf>
    <xf numFmtId="165" fontId="25" fillId="11" borderId="6" xfId="20" applyFont="1" applyFill="1" applyBorder="1" applyAlignment="1" applyProtection="1">
      <alignment horizontal="center" vertical="top" wrapText="1"/>
      <protection locked="0"/>
    </xf>
    <xf numFmtId="165" fontId="25" fillId="11" borderId="8" xfId="20" applyFont="1" applyFill="1" applyBorder="1" applyAlignment="1" applyProtection="1">
      <alignment horizontal="center" wrapText="1"/>
      <protection locked="0"/>
    </xf>
    <xf numFmtId="165" fontId="25" fillId="11" borderId="8" xfId="20" applyFont="1" applyFill="1" applyBorder="1" applyAlignment="1" applyProtection="1">
      <alignment horizontal="center" vertical="top" wrapText="1"/>
      <protection locked="0"/>
    </xf>
    <xf numFmtId="165" fontId="25" fillId="11" borderId="6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8" xfId="20" applyNumberFormat="1" applyFont="1" applyFill="1" applyBorder="1" applyAlignment="1" applyProtection="1">
      <alignment horizontal="center" vertical="top" wrapText="1"/>
      <protection locked="0"/>
    </xf>
    <xf numFmtId="0" fontId="27" fillId="11" borderId="3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wrapText="1"/>
    </xf>
    <xf numFmtId="165" fontId="25" fillId="11" borderId="12" xfId="20" applyFont="1" applyFill="1" applyBorder="1" applyAlignment="1" applyProtection="1">
      <alignment horizontal="center" vertical="top" wrapText="1"/>
      <protection locked="0"/>
    </xf>
    <xf numFmtId="165" fontId="25" fillId="11" borderId="11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12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 wrapText="1"/>
    </xf>
    <xf numFmtId="165" fontId="25" fillId="8" borderId="6" xfId="20" applyFont="1" applyFill="1" applyBorder="1" applyAlignment="1" applyProtection="1">
      <alignment horizontal="center" vertical="center"/>
    </xf>
    <xf numFmtId="165" fontId="25" fillId="7" borderId="6" xfId="20" applyFont="1" applyFill="1" applyBorder="1" applyAlignment="1" applyProtection="1">
      <alignment horizontal="center" vertical="center"/>
    </xf>
    <xf numFmtId="165" fontId="26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 wrapText="1"/>
    </xf>
    <xf numFmtId="37" fontId="27" fillId="11" borderId="2" xfId="0" applyNumberFormat="1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/>
    </xf>
    <xf numFmtId="0" fontId="26" fillId="11" borderId="16" xfId="0" applyFont="1" applyFill="1" applyBorder="1" applyAlignment="1" applyProtection="1">
      <alignment horizontal="center" vertical="center"/>
    </xf>
    <xf numFmtId="0" fontId="27" fillId="11" borderId="3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/>
    </xf>
    <xf numFmtId="0" fontId="25" fillId="11" borderId="3" xfId="0" applyFont="1" applyFill="1" applyBorder="1" applyAlignment="1" applyProtection="1">
      <alignment horizontal="center" vertical="center"/>
    </xf>
    <xf numFmtId="165" fontId="25" fillId="0" borderId="12" xfId="0" applyNumberFormat="1" applyFont="1" applyFill="1" applyBorder="1" applyAlignment="1" applyProtection="1">
      <alignment horizontal="center"/>
    </xf>
    <xf numFmtId="0" fontId="34" fillId="11" borderId="11" xfId="0" applyFont="1" applyFill="1" applyBorder="1" applyAlignment="1" applyProtection="1">
      <alignment horizontal="center" wrapText="1"/>
      <protection locked="0"/>
    </xf>
    <xf numFmtId="49" fontId="25" fillId="11" borderId="13" xfId="0" applyNumberFormat="1" applyFont="1" applyFill="1" applyBorder="1" applyAlignment="1" applyProtection="1">
      <alignment horizontal="center" wrapText="1"/>
      <protection locked="0"/>
    </xf>
    <xf numFmtId="49" fontId="25" fillId="11" borderId="11" xfId="0" applyNumberFormat="1" applyFont="1" applyFill="1" applyBorder="1" applyAlignment="1" applyProtection="1">
      <alignment horizontal="center" wrapText="1"/>
      <protection locked="0"/>
    </xf>
    <xf numFmtId="0" fontId="25" fillId="11" borderId="8" xfId="0" applyFont="1" applyFill="1" applyBorder="1" applyAlignment="1" applyProtection="1">
      <alignment horizontal="center" vertical="center" wrapText="1"/>
    </xf>
    <xf numFmtId="49" fontId="25" fillId="11" borderId="5" xfId="0" applyNumberFormat="1" applyFont="1" applyFill="1" applyBorder="1" applyAlignment="1" applyProtection="1">
      <alignment horizontal="center" vertical="center" wrapText="1"/>
    </xf>
    <xf numFmtId="49" fontId="25" fillId="11" borderId="8" xfId="0" applyNumberFormat="1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left" vertical="center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7" fillId="11" borderId="2" xfId="0" applyNumberFormat="1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 wrapText="1"/>
    </xf>
    <xf numFmtId="3" fontId="27" fillId="11" borderId="12" xfId="0" applyNumberFormat="1" applyFont="1" applyFill="1" applyBorder="1" applyAlignment="1" applyProtection="1">
      <alignment horizontal="center" vertical="center"/>
    </xf>
    <xf numFmtId="165" fontId="25" fillId="0" borderId="8" xfId="20" applyFont="1" applyFill="1" applyBorder="1" applyAlignment="1" applyProtection="1">
      <alignment horizontal="center"/>
    </xf>
    <xf numFmtId="165" fontId="25" fillId="11" borderId="6" xfId="20" applyNumberFormat="1" applyFont="1" applyFill="1" applyBorder="1" applyAlignment="1" applyProtection="1">
      <alignment horizontal="center"/>
      <protection locked="0"/>
    </xf>
    <xf numFmtId="165" fontId="25" fillId="0" borderId="6" xfId="20" applyFont="1" applyFill="1" applyBorder="1" applyAlignment="1" applyProtection="1">
      <alignment horizontal="center" vertical="center"/>
    </xf>
    <xf numFmtId="4" fontId="25" fillId="11" borderId="6" xfId="20" applyNumberFormat="1" applyFont="1" applyFill="1" applyBorder="1" applyAlignment="1" applyProtection="1">
      <alignment horizontal="right"/>
      <protection locked="0"/>
    </xf>
    <xf numFmtId="0" fontId="26" fillId="11" borderId="5" xfId="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horizontal="center" vertical="center"/>
      <protection locked="0"/>
    </xf>
    <xf numFmtId="0" fontId="26" fillId="11" borderId="13" xfId="0" applyFont="1" applyFill="1" applyBorder="1" applyAlignment="1" applyProtection="1">
      <alignment horizontal="center" vertical="center"/>
    </xf>
    <xf numFmtId="0" fontId="26" fillId="11" borderId="11" xfId="13" applyFont="1" applyFill="1" applyBorder="1" applyAlignment="1" applyProtection="1">
      <alignment horizontal="center" vertical="center"/>
    </xf>
    <xf numFmtId="0" fontId="25" fillId="0" borderId="14" xfId="0" applyNumberFormat="1" applyFont="1" applyFill="1" applyBorder="1" applyAlignment="1" applyProtection="1">
      <alignment horizontal="left" vertical="center"/>
      <protection locked="0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13" applyNumberFormat="1" applyFont="1" applyFill="1" applyBorder="1" applyAlignment="1" applyProtection="1">
      <alignment horizontal="left"/>
      <protection locked="0"/>
    </xf>
    <xf numFmtId="0" fontId="42" fillId="0" borderId="0" xfId="13" applyNumberFormat="1" applyFont="1" applyFill="1" applyBorder="1" applyAlignment="1" applyProtection="1">
      <alignment horizontal="left"/>
    </xf>
    <xf numFmtId="0" fontId="42" fillId="0" borderId="0" xfId="13" applyNumberFormat="1" applyFont="1" applyFill="1" applyBorder="1" applyAlignment="1" applyProtection="1">
      <alignment horizontal="left" wrapText="1"/>
    </xf>
    <xf numFmtId="0" fontId="25" fillId="0" borderId="6" xfId="13" applyNumberFormat="1" applyFont="1" applyBorder="1" applyAlignment="1" applyProtection="1">
      <alignment horizontal="left" vertical="top" wrapText="1"/>
    </xf>
    <xf numFmtId="0" fontId="25" fillId="11" borderId="4" xfId="13" applyFont="1" applyFill="1" applyBorder="1" applyAlignment="1" applyProtection="1">
      <alignment horizontal="center" vertical="top" wrapText="1"/>
      <protection locked="0"/>
    </xf>
    <xf numFmtId="0" fontId="25" fillId="11" borderId="7" xfId="13" applyFont="1" applyFill="1" applyBorder="1" applyAlignment="1" applyProtection="1">
      <alignment horizontal="center" vertical="top" wrapText="1"/>
      <protection locked="0"/>
    </xf>
    <xf numFmtId="0" fontId="25" fillId="0" borderId="8" xfId="13" applyNumberFormat="1" applyFont="1" applyBorder="1" applyAlignment="1" applyProtection="1">
      <alignment horizontal="left" vertical="top" wrapText="1"/>
    </xf>
    <xf numFmtId="165" fontId="25" fillId="0" borderId="5" xfId="20" applyFont="1" applyFill="1" applyBorder="1" applyAlignment="1" applyProtection="1">
      <alignment horizontal="center" vertical="top" wrapText="1"/>
    </xf>
    <xf numFmtId="165" fontId="25" fillId="0" borderId="15" xfId="20" applyFont="1" applyFill="1" applyBorder="1" applyAlignment="1" applyProtection="1">
      <alignment horizontal="center" vertical="top" wrapText="1"/>
    </xf>
    <xf numFmtId="165" fontId="25" fillId="0" borderId="4" xfId="20" applyFont="1" applyFill="1" applyBorder="1" applyAlignment="1" applyProtection="1">
      <alignment horizontal="center" vertical="top" wrapText="1"/>
    </xf>
    <xf numFmtId="165" fontId="25" fillId="0" borderId="0" xfId="20" applyFont="1" applyFill="1" applyBorder="1" applyAlignment="1" applyProtection="1">
      <alignment horizontal="center" vertical="top" wrapText="1"/>
    </xf>
    <xf numFmtId="0" fontId="25" fillId="0" borderId="6" xfId="13" applyFont="1" applyBorder="1" applyAlignment="1" applyProtection="1">
      <alignment horizontal="left" vertical="top" wrapText="1"/>
    </xf>
    <xf numFmtId="0" fontId="25" fillId="11" borderId="6" xfId="13" applyFont="1" applyFill="1" applyBorder="1" applyAlignment="1" applyProtection="1">
      <alignment horizontal="center"/>
      <protection locked="0"/>
    </xf>
    <xf numFmtId="0" fontId="25" fillId="11" borderId="7" xfId="13" applyFont="1" applyFill="1" applyBorder="1" applyAlignment="1" applyProtection="1">
      <alignment horizontal="center"/>
      <protection locked="0"/>
    </xf>
    <xf numFmtId="0" fontId="25" fillId="11" borderId="6" xfId="13" applyFont="1" applyFill="1" applyBorder="1" applyAlignment="1" applyProtection="1">
      <alignment horizontal="center" vertical="top" wrapText="1"/>
      <protection locked="0"/>
    </xf>
    <xf numFmtId="0" fontId="25" fillId="11" borderId="12" xfId="13" applyNumberFormat="1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 vertical="center"/>
    </xf>
    <xf numFmtId="0" fontId="25" fillId="0" borderId="11" xfId="13" applyFont="1" applyBorder="1" applyAlignment="1" applyProtection="1">
      <alignment horizontal="left" vertical="top" wrapText="1"/>
      <protection locked="0"/>
    </xf>
    <xf numFmtId="0" fontId="25" fillId="11" borderId="11" xfId="13" applyFont="1" applyFill="1" applyBorder="1" applyAlignment="1" applyProtection="1">
      <alignment horizontal="center" vertical="top" wrapText="1"/>
      <protection locked="0"/>
    </xf>
    <xf numFmtId="0" fontId="25" fillId="11" borderId="10" xfId="13" applyFont="1" applyFill="1" applyBorder="1" applyAlignment="1" applyProtection="1">
      <alignment horizontal="center" vertical="top" wrapText="1"/>
      <protection locked="0"/>
    </xf>
    <xf numFmtId="0" fontId="25" fillId="0" borderId="4" xfId="13" applyFont="1" applyFill="1" applyBorder="1" applyAlignment="1" applyProtection="1">
      <alignment horizontal="left" vertical="center"/>
    </xf>
    <xf numFmtId="165" fontId="25" fillId="11" borderId="7" xfId="20" applyFont="1" applyFill="1" applyBorder="1" applyAlignment="1" applyProtection="1">
      <alignment horizontal="center"/>
      <protection locked="0"/>
    </xf>
    <xf numFmtId="0" fontId="25" fillId="0" borderId="5" xfId="13" applyFont="1" applyFill="1" applyBorder="1" applyAlignment="1" applyProtection="1">
      <alignment horizontal="left" vertical="center"/>
    </xf>
    <xf numFmtId="165" fontId="25" fillId="11" borderId="9" xfId="20" applyFont="1" applyFill="1" applyBorder="1" applyAlignment="1" applyProtection="1">
      <alignment horizontal="center"/>
      <protection locked="0"/>
    </xf>
    <xf numFmtId="0" fontId="25" fillId="11" borderId="2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/>
      <protection locked="0"/>
    </xf>
    <xf numFmtId="0" fontId="25" fillId="0" borderId="13" xfId="13" applyFont="1" applyFill="1" applyBorder="1" applyAlignment="1" applyProtection="1">
      <alignment horizontal="left" vertical="center"/>
    </xf>
    <xf numFmtId="165" fontId="25" fillId="0" borderId="10" xfId="20" applyFont="1" applyFill="1" applyBorder="1" applyAlignment="1" applyProtection="1">
      <alignment horizontal="center"/>
    </xf>
    <xf numFmtId="0" fontId="27" fillId="11" borderId="14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 wrapText="1"/>
    </xf>
    <xf numFmtId="0" fontId="25" fillId="11" borderId="10" xfId="14" applyFont="1" applyFill="1" applyBorder="1" applyAlignment="1" applyProtection="1">
      <alignment horizontal="center" vertical="center" wrapText="1"/>
    </xf>
    <xf numFmtId="0" fontId="25" fillId="0" borderId="15" xfId="13" applyFont="1" applyBorder="1" applyAlignment="1" applyProtection="1">
      <alignment horizontal="left" vertical="center" wrapText="1"/>
    </xf>
    <xf numFmtId="165" fontId="25" fillId="11" borderId="7" xfId="20" applyFont="1" applyFill="1" applyBorder="1" applyAlignment="1" applyProtection="1">
      <alignment horizontal="center" vertical="center"/>
      <protection locked="0"/>
    </xf>
    <xf numFmtId="0" fontId="25" fillId="0" borderId="2" xfId="13" applyFont="1" applyBorder="1" applyAlignment="1" applyProtection="1">
      <alignment horizontal="left" vertical="top" wrapText="1"/>
    </xf>
    <xf numFmtId="165" fontId="25" fillId="0" borderId="16" xfId="13" applyNumberFormat="1" applyFont="1" applyFill="1" applyBorder="1" applyAlignment="1" applyProtection="1">
      <alignment horizontal="center"/>
    </xf>
    <xf numFmtId="0" fontId="25" fillId="0" borderId="2" xfId="13" applyFont="1" applyBorder="1" applyAlignment="1" applyProtection="1">
      <alignment horizontal="left" vertical="center" wrapText="1"/>
    </xf>
    <xf numFmtId="10" fontId="25" fillId="0" borderId="16" xfId="16" applyNumberFormat="1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left" vertical="center" wrapText="1"/>
    </xf>
    <xf numFmtId="0" fontId="25" fillId="11" borderId="16" xfId="13" applyFont="1" applyFill="1" applyBorder="1" applyAlignment="1" applyProtection="1">
      <alignment horizontal="center" vertical="center" wrapText="1"/>
    </xf>
    <xf numFmtId="165" fontId="25" fillId="0" borderId="10" xfId="13" applyNumberFormat="1" applyFont="1" applyFill="1" applyBorder="1" applyAlignment="1" applyProtection="1">
      <alignment horizontal="center" vertical="center"/>
    </xf>
    <xf numFmtId="165" fontId="25" fillId="0" borderId="7" xfId="20" applyFont="1" applyFill="1" applyBorder="1" applyAlignment="1" applyProtection="1">
      <alignment horizontal="center" vertical="center"/>
    </xf>
    <xf numFmtId="0" fontId="27" fillId="11" borderId="15" xfId="13" applyFont="1" applyFill="1" applyBorder="1" applyAlignment="1" applyProtection="1">
      <alignment horizontal="center" vertical="center"/>
    </xf>
    <xf numFmtId="0" fontId="25" fillId="0" borderId="4" xfId="13" applyFont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horizontal="center"/>
      <protection locked="0"/>
    </xf>
    <xf numFmtId="0" fontId="25" fillId="0" borderId="5" xfId="13" applyFont="1" applyBorder="1" applyAlignment="1" applyProtection="1">
      <alignment horizontal="left" vertical="center" wrapText="1"/>
      <protection locked="0"/>
    </xf>
    <xf numFmtId="10" fontId="25" fillId="0" borderId="7" xfId="16" applyNumberFormat="1" applyFont="1" applyFill="1" applyBorder="1" applyAlignment="1" applyProtection="1">
      <alignment horizontal="center"/>
    </xf>
    <xf numFmtId="0" fontId="25" fillId="0" borderId="5" xfId="13" applyFont="1" applyFill="1" applyBorder="1" applyAlignment="1" applyProtection="1">
      <alignment horizontal="left" vertical="top" wrapText="1"/>
    </xf>
    <xf numFmtId="10" fontId="25" fillId="0" borderId="9" xfId="13" applyNumberFormat="1" applyFont="1" applyFill="1" applyBorder="1" applyAlignment="1" applyProtection="1">
      <alignment horizontal="center"/>
    </xf>
    <xf numFmtId="165" fontId="25" fillId="11" borderId="7" xfId="20" applyFont="1" applyFill="1" applyBorder="1" applyAlignment="1" applyProtection="1">
      <alignment horizontal="center" vertical="top" wrapText="1"/>
      <protection locked="0"/>
    </xf>
    <xf numFmtId="0" fontId="25" fillId="0" borderId="0" xfId="13" applyFont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center" vertical="top" wrapText="1"/>
    </xf>
    <xf numFmtId="165" fontId="25" fillId="0" borderId="16" xfId="13" applyNumberFormat="1" applyFont="1" applyBorder="1" applyAlignment="1" applyProtection="1">
      <alignment horizontal="center" vertical="top" wrapText="1"/>
    </xf>
    <xf numFmtId="0" fontId="25" fillId="11" borderId="3" xfId="13" applyFont="1" applyFill="1" applyBorder="1" applyAlignment="1" applyProtection="1">
      <alignment horizontal="center" vertical="center" wrapText="1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0" xfId="20" applyFont="1" applyFill="1" applyBorder="1" applyAlignment="1" applyProtection="1">
      <alignment horizontal="center" vertical="top" wrapText="1"/>
    </xf>
    <xf numFmtId="0" fontId="25" fillId="0" borderId="2" xfId="13" applyFont="1" applyFill="1" applyBorder="1" applyAlignment="1" applyProtection="1">
      <alignment horizontal="left" vertical="top" wrapText="1"/>
    </xf>
    <xf numFmtId="165" fontId="25" fillId="0" borderId="12" xfId="20" applyFont="1" applyFill="1" applyBorder="1" applyAlignment="1" applyProtection="1">
      <alignment horizontal="center" vertical="top" wrapText="1"/>
    </xf>
    <xf numFmtId="0" fontId="26" fillId="3" borderId="16" xfId="13" applyFont="1" applyFill="1" applyBorder="1" applyAlignment="1" applyProtection="1">
      <alignment horizontal="center"/>
    </xf>
    <xf numFmtId="0" fontId="25" fillId="0" borderId="15" xfId="13" applyFont="1" applyFill="1" applyBorder="1" applyAlignment="1" applyProtection="1">
      <alignment horizontal="left" vertical="top" wrapText="1"/>
    </xf>
    <xf numFmtId="0" fontId="25" fillId="11" borderId="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 wrapText="1"/>
    </xf>
    <xf numFmtId="165" fontId="25" fillId="0" borderId="12" xfId="13" applyNumberFormat="1" applyFont="1" applyFill="1" applyBorder="1" applyAlignment="1" applyProtection="1">
      <alignment horizontal="center"/>
    </xf>
    <xf numFmtId="0" fontId="27" fillId="11" borderId="3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6" xfId="13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/>
    </xf>
    <xf numFmtId="0" fontId="25" fillId="11" borderId="8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 vertical="center"/>
    </xf>
    <xf numFmtId="165" fontId="25" fillId="0" borderId="6" xfId="13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left"/>
    </xf>
    <xf numFmtId="0" fontId="26" fillId="0" borderId="0" xfId="13" applyFont="1" applyFill="1" applyBorder="1" applyAlignment="1" applyProtection="1">
      <alignment horizontal="left"/>
    </xf>
    <xf numFmtId="10" fontId="12" fillId="0" borderId="0" xfId="16" applyNumberFormat="1" applyFont="1" applyFill="1" applyBorder="1" applyAlignment="1" applyProtection="1">
      <alignment horizontal="center" vertical="center" wrapText="1"/>
    </xf>
    <xf numFmtId="0" fontId="19" fillId="0" borderId="0" xfId="13" applyFont="1" applyFill="1" applyBorder="1" applyAlignment="1" applyProtection="1">
      <alignment horizontal="left"/>
    </xf>
    <xf numFmtId="0" fontId="25" fillId="0" borderId="0" xfId="13" applyFont="1" applyFill="1" applyBorder="1" applyAlignment="1" applyProtection="1">
      <alignment horizontal="left" vertical="top" wrapText="1"/>
    </xf>
    <xf numFmtId="0" fontId="25" fillId="0" borderId="0" xfId="13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25" fillId="0" borderId="15" xfId="13" applyFont="1" applyFill="1" applyBorder="1" applyAlignment="1" applyProtection="1">
      <alignment horizontal="left" wrapText="1"/>
    </xf>
    <xf numFmtId="165" fontId="0" fillId="11" borderId="9" xfId="20" applyFont="1" applyFill="1" applyBorder="1" applyAlignment="1" applyProtection="1">
      <alignment horizontal="center"/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6" xfId="20" applyFont="1" applyFill="1" applyBorder="1" applyAlignment="1" applyProtection="1">
      <alignment horizontal="center"/>
    </xf>
    <xf numFmtId="0" fontId="25" fillId="0" borderId="4" xfId="13" applyFont="1" applyFill="1" applyBorder="1" applyAlignment="1" applyProtection="1">
      <alignment horizontal="left" wrapText="1"/>
    </xf>
    <xf numFmtId="165" fontId="0" fillId="11" borderId="7" xfId="20" applyFont="1" applyFill="1" applyBorder="1" applyAlignment="1" applyProtection="1">
      <alignment horizontal="center"/>
      <protection locked="0"/>
    </xf>
    <xf numFmtId="0" fontId="25" fillId="0" borderId="12" xfId="13" applyFont="1" applyFill="1" applyBorder="1" applyAlignment="1" applyProtection="1">
      <alignment horizontal="center" vertical="center"/>
    </xf>
    <xf numFmtId="0" fontId="25" fillId="0" borderId="16" xfId="13" applyFont="1" applyFill="1" applyBorder="1" applyAlignment="1" applyProtection="1">
      <alignment horizontal="center" vertical="center"/>
    </xf>
    <xf numFmtId="165" fontId="0" fillId="11" borderId="10" xfId="20" applyFont="1" applyFill="1" applyBorder="1" applyAlignment="1" applyProtection="1">
      <alignment horizontal="center"/>
      <protection locked="0"/>
    </xf>
    <xf numFmtId="0" fontId="47" fillId="0" borderId="0" xfId="13" applyNumberFormat="1" applyFont="1" applyFill="1" applyBorder="1" applyAlignment="1" applyProtection="1">
      <alignment horizontal="center"/>
    </xf>
    <xf numFmtId="0" fontId="26" fillId="11" borderId="15" xfId="13" applyFont="1" applyFill="1" applyBorder="1" applyAlignment="1" applyProtection="1">
      <alignment horizontal="center"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0" xfId="14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vertical="center"/>
    </xf>
    <xf numFmtId="0" fontId="19" fillId="0" borderId="0" xfId="13" applyFont="1" applyFill="1" applyBorder="1" applyAlignment="1" applyProtection="1">
      <alignment vertical="top" wrapText="1"/>
    </xf>
    <xf numFmtId="0" fontId="25" fillId="0" borderId="0" xfId="13" applyNumberFormat="1" applyFont="1" applyFill="1" applyBorder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25" fillId="0" borderId="0" xfId="13" applyFont="1" applyBorder="1" applyAlignment="1" applyProtection="1">
      <alignment wrapText="1"/>
    </xf>
    <xf numFmtId="0" fontId="25" fillId="0" borderId="0" xfId="13" applyFont="1" applyBorder="1" applyAlignment="1" applyProtection="1">
      <alignment horizontal="left" vertical="top" wrapText="1"/>
      <protection locked="0"/>
    </xf>
    <xf numFmtId="0" fontId="25" fillId="0" borderId="0" xfId="13" applyFont="1" applyBorder="1" applyAlignment="1" applyProtection="1">
      <alignment horizontal="justify" vertical="top" wrapText="1"/>
    </xf>
    <xf numFmtId="0" fontId="42" fillId="0" borderId="0" xfId="13" applyFont="1" applyBorder="1" applyAlignment="1" applyProtection="1">
      <alignment horizontal="justify" vertical="top" wrapText="1"/>
    </xf>
    <xf numFmtId="165" fontId="25" fillId="0" borderId="12" xfId="20" applyFont="1" applyFill="1" applyBorder="1" applyAlignment="1" applyProtection="1">
      <alignment horizontal="right" vertical="top" wrapText="1"/>
    </xf>
    <xf numFmtId="0" fontId="25" fillId="0" borderId="16" xfId="13" applyFont="1" applyBorder="1" applyAlignment="1" applyProtection="1">
      <alignment horizontal="right" vertical="top" wrapText="1"/>
    </xf>
    <xf numFmtId="165" fontId="25" fillId="11" borderId="12" xfId="13" applyNumberFormat="1" applyFont="1" applyFill="1" applyBorder="1" applyAlignment="1" applyProtection="1">
      <alignment horizontal="center" vertical="center" wrapText="1"/>
    </xf>
    <xf numFmtId="165" fontId="25" fillId="11" borderId="16" xfId="13" applyNumberFormat="1" applyFont="1" applyFill="1" applyBorder="1" applyAlignment="1" applyProtection="1">
      <alignment horizontal="center" vertical="center" wrapText="1"/>
    </xf>
    <xf numFmtId="0" fontId="25" fillId="12" borderId="12" xfId="13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right" vertical="top" wrapText="1"/>
      <protection locked="0"/>
    </xf>
    <xf numFmtId="0" fontId="26" fillId="11" borderId="8" xfId="13" applyFont="1" applyFill="1" applyBorder="1" applyAlignment="1" applyProtection="1">
      <alignment horizontal="center" vertical="top" wrapText="1"/>
    </xf>
    <xf numFmtId="0" fontId="26" fillId="11" borderId="8" xfId="13" applyFont="1" applyFill="1" applyBorder="1" applyAlignment="1" applyProtection="1">
      <alignment horizontal="center" vertical="top"/>
    </xf>
    <xf numFmtId="165" fontId="25" fillId="11" borderId="11" xfId="20" applyFont="1" applyFill="1" applyBorder="1" applyAlignment="1" applyProtection="1">
      <alignment horizontal="right" vertical="top" wrapText="1"/>
      <protection locked="0"/>
    </xf>
    <xf numFmtId="0" fontId="27" fillId="11" borderId="12" xfId="13" applyFont="1" applyFill="1" applyBorder="1" applyAlignment="1" applyProtection="1">
      <alignment horizontal="center" vertical="center" wrapText="1"/>
    </xf>
    <xf numFmtId="0" fontId="26" fillId="11" borderId="11" xfId="13" applyFont="1" applyFill="1" applyBorder="1" applyAlignment="1" applyProtection="1">
      <alignment horizontal="center" vertical="center" wrapText="1"/>
    </xf>
    <xf numFmtId="0" fontId="26" fillId="11" borderId="12" xfId="13" applyFont="1" applyFill="1" applyBorder="1" applyAlignment="1" applyProtection="1">
      <alignment horizontal="center" vertical="center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right" vertical="top" wrapText="1"/>
    </xf>
    <xf numFmtId="0" fontId="26" fillId="0" borderId="0" xfId="13" applyFont="1" applyFill="1" applyBorder="1" applyAlignment="1" applyProtection="1">
      <alignment horizontal="left" vertical="top" wrapText="1"/>
    </xf>
    <xf numFmtId="0" fontId="19" fillId="0" borderId="0" xfId="13" applyFont="1" applyBorder="1" applyAlignment="1" applyProtection="1">
      <alignment horizontal="left" vertical="top" wrapText="1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11" xfId="20" applyFont="1" applyFill="1" applyBorder="1" applyAlignment="1" applyProtection="1">
      <alignment horizontal="center"/>
      <protection locked="0"/>
    </xf>
    <xf numFmtId="165" fontId="15" fillId="0" borderId="11" xfId="20" applyFont="1" applyFill="1" applyBorder="1" applyAlignment="1" applyProtection="1">
      <alignment horizontal="center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>
      <alignment horizontal="center"/>
    </xf>
    <xf numFmtId="0" fontId="51" fillId="13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35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0" borderId="14" xfId="13" applyFont="1" applyBorder="1" applyAlignment="1" applyProtection="1">
      <alignment horizontal="left" vertical="center" wrapText="1"/>
      <protection locked="0"/>
    </xf>
    <xf numFmtId="0" fontId="15" fillId="0" borderId="0" xfId="13" applyFont="1" applyFill="1" applyBorder="1" applyAlignment="1" applyProtection="1">
      <alignment horizontal="justify" wrapText="1"/>
    </xf>
    <xf numFmtId="0" fontId="15" fillId="0" borderId="0" xfId="13" applyFont="1" applyFill="1" applyBorder="1" applyAlignment="1" applyProtection="1">
      <alignment horizontal="justify"/>
    </xf>
    <xf numFmtId="0" fontId="15" fillId="0" borderId="0" xfId="13" applyFont="1" applyFill="1" applyBorder="1" applyAlignment="1" applyProtection="1">
      <alignment horizontal="left"/>
    </xf>
    <xf numFmtId="49" fontId="52" fillId="11" borderId="2" xfId="13" applyNumberFormat="1" applyFont="1" applyFill="1" applyBorder="1" applyAlignment="1" applyProtection="1">
      <alignment horizontal="center" vertical="center"/>
    </xf>
    <xf numFmtId="0" fontId="50" fillId="11" borderId="11" xfId="13" applyNumberFormat="1" applyFont="1" applyFill="1" applyBorder="1" applyAlignment="1" applyProtection="1">
      <alignment horizontal="center"/>
      <protection locked="0"/>
    </xf>
    <xf numFmtId="37" fontId="50" fillId="11" borderId="15" xfId="13" applyNumberFormat="1" applyFont="1" applyFill="1" applyBorder="1" applyAlignment="1" applyProtection="1">
      <alignment horizontal="center"/>
    </xf>
    <xf numFmtId="0" fontId="50" fillId="0" borderId="0" xfId="13" applyFont="1" applyFill="1" applyBorder="1" applyAlignment="1" applyProtection="1">
      <alignment horizontal="left"/>
    </xf>
    <xf numFmtId="0" fontId="52" fillId="11" borderId="2" xfId="13" applyFont="1" applyFill="1" applyBorder="1" applyAlignment="1" applyProtection="1">
      <alignment horizontal="center" vertical="center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6" fillId="0" borderId="14" xfId="0" applyNumberFormat="1" applyFont="1" applyFill="1" applyBorder="1" applyAlignment="1" applyProtection="1">
      <alignment horizontal="left"/>
      <protection locked="0"/>
    </xf>
    <xf numFmtId="0" fontId="58" fillId="0" borderId="0" xfId="0" applyFont="1" applyFill="1" applyBorder="1" applyAlignment="1" applyProtection="1">
      <alignment horizontal="left" vertical="center" wrapText="1"/>
    </xf>
    <xf numFmtId="0" fontId="17" fillId="10" borderId="15" xfId="0" applyFont="1" applyFill="1" applyBorder="1" applyAlignment="1" applyProtection="1"/>
    <xf numFmtId="165" fontId="17" fillId="10" borderId="9" xfId="20" applyFont="1" applyFill="1" applyBorder="1" applyAlignment="1" applyProtection="1">
      <alignment horizontal="center" vertical="center" wrapText="1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/>
    </xf>
    <xf numFmtId="0" fontId="17" fillId="11" borderId="16" xfId="13" applyFont="1" applyFill="1" applyBorder="1" applyAlignment="1" applyProtection="1">
      <alignment horizontal="center" vertical="center" wrapText="1"/>
    </xf>
    <xf numFmtId="165" fontId="17" fillId="11" borderId="7" xfId="20" applyFont="1" applyFill="1" applyBorder="1" applyAlignment="1" applyProtection="1">
      <alignment horizontal="center" vertical="center" wrapText="1"/>
      <protection locked="0"/>
    </xf>
    <xf numFmtId="165" fontId="17" fillId="11" borderId="7" xfId="20" applyFont="1" applyFill="1" applyBorder="1" applyAlignment="1" applyProtection="1">
      <alignment horizontal="center" vertical="center"/>
      <protection locked="0"/>
    </xf>
    <xf numFmtId="165" fontId="17" fillId="11" borderId="10" xfId="20" applyFont="1" applyFill="1" applyBorder="1" applyAlignment="1" applyProtection="1">
      <alignment horizontal="center" vertical="center" wrapText="1"/>
      <protection locked="0"/>
    </xf>
    <xf numFmtId="165" fontId="17" fillId="11" borderId="10" xfId="20" applyFont="1" applyFill="1" applyBorder="1" applyAlignment="1" applyProtection="1">
      <alignment horizontal="center" vertical="center"/>
      <protection locked="0"/>
    </xf>
    <xf numFmtId="0" fontId="17" fillId="11" borderId="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 wrapText="1"/>
    </xf>
    <xf numFmtId="0" fontId="17" fillId="11" borderId="10" xfId="0" applyFont="1" applyFill="1" applyBorder="1" applyAlignment="1" applyProtection="1">
      <alignment horizontal="center" vertical="center" wrapText="1"/>
    </xf>
    <xf numFmtId="0" fontId="17" fillId="11" borderId="9" xfId="0" applyFont="1" applyFill="1" applyBorder="1" applyAlignment="1" applyProtection="1">
      <alignment horizontal="center" vertical="center" wrapText="1"/>
    </xf>
    <xf numFmtId="165" fontId="16" fillId="11" borderId="7" xfId="20" applyFont="1" applyFill="1" applyBorder="1" applyAlignment="1" applyProtection="1">
      <alignment horizontal="center"/>
      <protection locked="0"/>
    </xf>
    <xf numFmtId="0" fontId="17" fillId="10" borderId="5" xfId="0" applyFont="1" applyFill="1" applyBorder="1" applyAlignment="1" applyProtection="1">
      <alignment horizontal="left" wrapText="1"/>
    </xf>
    <xf numFmtId="165" fontId="17" fillId="0" borderId="9" xfId="20" applyFont="1" applyFill="1" applyBorder="1" applyAlignment="1" applyProtection="1">
      <alignment horizontal="center" vertical="center" wrapText="1"/>
    </xf>
    <xf numFmtId="0" fontId="17" fillId="11" borderId="7" xfId="0" applyFont="1" applyFill="1" applyBorder="1" applyAlignment="1" applyProtection="1">
      <alignment horizontal="center" vertical="center" wrapText="1"/>
    </xf>
    <xf numFmtId="0" fontId="60" fillId="10" borderId="13" xfId="0" applyFont="1" applyFill="1" applyBorder="1" applyAlignment="1" applyProtection="1">
      <alignment horizontal="left" wrapText="1"/>
      <protection locked="0"/>
    </xf>
    <xf numFmtId="165" fontId="16" fillId="11" borderId="10" xfId="20" applyFont="1" applyFill="1" applyBorder="1" applyAlignment="1" applyProtection="1">
      <alignment horizontal="center"/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0" fontId="53" fillId="0" borderId="3" xfId="0" applyFont="1" applyFill="1" applyBorder="1" applyAlignment="1" applyProtection="1">
      <alignment horizontal="center" vertical="center"/>
    </xf>
    <xf numFmtId="0" fontId="17" fillId="11" borderId="2" xfId="0" applyFont="1" applyFill="1" applyBorder="1" applyAlignment="1" applyProtection="1">
      <alignment horizontal="left" vertical="center" wrapText="1"/>
    </xf>
    <xf numFmtId="10" fontId="59" fillId="10" borderId="16" xfId="16" applyNumberFormat="1" applyFont="1" applyFill="1" applyBorder="1" applyAlignment="1" applyProtection="1">
      <alignment horizontal="center" vertical="center" wrapText="1"/>
    </xf>
    <xf numFmtId="165" fontId="16" fillId="10" borderId="16" xfId="20" applyFont="1" applyFill="1" applyBorder="1" applyAlignment="1" applyProtection="1">
      <alignment horizontal="center" vertical="center"/>
    </xf>
    <xf numFmtId="0" fontId="56" fillId="11" borderId="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/>
    </xf>
    <xf numFmtId="0" fontId="56" fillId="11" borderId="13" xfId="0" applyFont="1" applyFill="1" applyBorder="1" applyAlignment="1" applyProtection="1">
      <alignment horizontal="center" vertical="center"/>
    </xf>
    <xf numFmtId="165" fontId="16" fillId="11" borderId="6" xfId="20" applyFont="1" applyFill="1" applyBorder="1" applyAlignment="1" applyProtection="1">
      <alignment horizontal="center"/>
      <protection locked="0"/>
    </xf>
    <xf numFmtId="10" fontId="25" fillId="0" borderId="7" xfId="16" applyNumberFormat="1" applyFont="1" applyFill="1" applyBorder="1" applyAlignment="1" applyProtection="1">
      <alignment horizontal="center" vertical="center"/>
    </xf>
    <xf numFmtId="165" fontId="17" fillId="0" borderId="12" xfId="20" applyFont="1" applyFill="1" applyBorder="1" applyAlignment="1" applyProtection="1">
      <alignment horizontal="center"/>
    </xf>
    <xf numFmtId="10" fontId="25" fillId="0" borderId="16" xfId="16" applyNumberFormat="1" applyFont="1" applyFill="1" applyBorder="1" applyAlignment="1" applyProtection="1">
      <alignment horizontal="center" vertical="center"/>
    </xf>
    <xf numFmtId="165" fontId="16" fillId="0" borderId="11" xfId="20" applyFont="1" applyFill="1" applyBorder="1" applyAlignment="1" applyProtection="1">
      <alignment horizontal="center"/>
    </xf>
    <xf numFmtId="165" fontId="17" fillId="0" borderId="12" xfId="20" applyFont="1" applyFill="1" applyBorder="1" applyAlignment="1" applyProtection="1">
      <alignment horizontal="center" vertical="center"/>
    </xf>
    <xf numFmtId="0" fontId="56" fillId="11" borderId="3" xfId="0" applyFont="1" applyFill="1" applyBorder="1" applyAlignment="1" applyProtection="1">
      <alignment horizontal="center" vertical="center"/>
    </xf>
    <xf numFmtId="0" fontId="17" fillId="11" borderId="11" xfId="0" applyFont="1" applyFill="1" applyBorder="1" applyAlignment="1" applyProtection="1">
      <alignment horizontal="center"/>
    </xf>
    <xf numFmtId="0" fontId="17" fillId="11" borderId="10" xfId="0" applyFont="1" applyFill="1" applyBorder="1" applyAlignment="1" applyProtection="1">
      <alignment horizontal="center"/>
    </xf>
    <xf numFmtId="0" fontId="17" fillId="11" borderId="8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/>
    </xf>
    <xf numFmtId="165" fontId="16" fillId="0" borderId="6" xfId="2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0" fontId="16" fillId="10" borderId="15" xfId="0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 wrapText="1"/>
    </xf>
    <xf numFmtId="0" fontId="16" fillId="10" borderId="5" xfId="13" applyFont="1" applyFill="1" applyBorder="1" applyAlignment="1" applyProtection="1">
      <alignment horizontal="left" wrapText="1"/>
    </xf>
    <xf numFmtId="0" fontId="55" fillId="0" borderId="3" xfId="13" applyFont="1" applyFill="1" applyBorder="1" applyAlignment="1" applyProtection="1">
      <alignment horizontal="center"/>
    </xf>
    <xf numFmtId="165" fontId="16" fillId="11" borderId="8" xfId="20" applyFont="1" applyFill="1" applyBorder="1" applyAlignment="1" applyProtection="1">
      <alignment horizontal="center"/>
      <protection locked="0"/>
    </xf>
    <xf numFmtId="165" fontId="16" fillId="0" borderId="12" xfId="13" applyNumberFormat="1" applyFont="1" applyFill="1" applyBorder="1" applyAlignment="1" applyProtection="1">
      <alignment horizontal="center"/>
    </xf>
    <xf numFmtId="0" fontId="56" fillId="11" borderId="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/>
    </xf>
    <xf numFmtId="0" fontId="17" fillId="11" borderId="16" xfId="13" applyFont="1" applyFill="1" applyBorder="1" applyAlignment="1" applyProtection="1">
      <alignment horizontal="center" vertical="top" wrapText="1"/>
    </xf>
    <xf numFmtId="0" fontId="16" fillId="0" borderId="0" xfId="13" applyNumberFormat="1" applyFont="1" applyFill="1" applyBorder="1" applyAlignment="1" applyProtection="1">
      <alignment horizontal="left"/>
    </xf>
    <xf numFmtId="0" fontId="17" fillId="0" borderId="0" xfId="13" applyNumberFormat="1" applyFont="1" applyFill="1" applyBorder="1" applyAlignment="1" applyProtection="1">
      <alignment horizontal="left"/>
    </xf>
    <xf numFmtId="0" fontId="17" fillId="11" borderId="12" xfId="13" applyFont="1" applyFill="1" applyBorder="1" applyAlignment="1" applyProtection="1">
      <alignment horizontal="center" vertical="center" wrapText="1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66" fillId="15" borderId="0" xfId="0" applyFont="1" applyFill="1" applyBorder="1" applyAlignment="1" applyProtection="1">
      <alignment horizontal="center" vertical="center"/>
    </xf>
    <xf numFmtId="0" fontId="50" fillId="11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165" fontId="15" fillId="11" borderId="6" xfId="20" applyNumberFormat="1" applyFont="1" applyFill="1" applyBorder="1" applyAlignment="1" applyProtection="1">
      <alignment horizontal="left" vertical="top"/>
      <protection locked="0"/>
    </xf>
    <xf numFmtId="165" fontId="15" fillId="11" borderId="8" xfId="20" applyNumberFormat="1" applyFont="1" applyFill="1" applyBorder="1" applyAlignment="1" applyProtection="1">
      <alignment horizontal="center" vertical="top"/>
      <protection locked="0"/>
    </xf>
    <xf numFmtId="165" fontId="15" fillId="11" borderId="7" xfId="20" applyNumberFormat="1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 applyProtection="1">
      <alignment horizontal="center" vertical="top" wrapText="1"/>
    </xf>
    <xf numFmtId="165" fontId="15" fillId="0" borderId="11" xfId="20" applyFont="1" applyFill="1" applyBorder="1" applyAlignment="1" applyProtection="1">
      <alignment horizontal="left" vertical="top"/>
    </xf>
    <xf numFmtId="165" fontId="15" fillId="0" borderId="6" xfId="20" applyFont="1" applyFill="1" applyBorder="1" applyAlignment="1" applyProtection="1">
      <alignment horizontal="center" vertical="top"/>
    </xf>
    <xf numFmtId="165" fontId="15" fillId="0" borderId="10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center" vertical="top"/>
      <protection locked="0"/>
    </xf>
    <xf numFmtId="165" fontId="15" fillId="11" borderId="8" xfId="20" applyNumberFormat="1" applyFont="1" applyFill="1" applyBorder="1" applyAlignment="1" applyProtection="1">
      <alignment horizontal="left" vertical="top"/>
      <protection locked="0"/>
    </xf>
    <xf numFmtId="165" fontId="15" fillId="11" borderId="9" xfId="20" applyNumberFormat="1" applyFont="1" applyFill="1" applyBorder="1" applyAlignment="1" applyProtection="1">
      <alignment horizontal="center" vertical="top"/>
      <protection locked="0"/>
    </xf>
    <xf numFmtId="165" fontId="15" fillId="0" borderId="6" xfId="20" applyFont="1" applyFill="1" applyBorder="1" applyAlignment="1" applyProtection="1">
      <alignment horizontal="left" vertical="top"/>
    </xf>
    <xf numFmtId="165" fontId="15" fillId="0" borderId="11" xfId="20" applyFont="1" applyFill="1" applyBorder="1" applyAlignment="1" applyProtection="1">
      <alignment horizontal="center" vertical="top"/>
    </xf>
    <xf numFmtId="165" fontId="15" fillId="0" borderId="7" xfId="20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6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2" fillId="11" borderId="14" xfId="0" applyFont="1" applyFill="1" applyBorder="1" applyAlignment="1" applyProtection="1">
      <alignment horizontal="center" vertical="center" wrapText="1"/>
    </xf>
    <xf numFmtId="0" fontId="50" fillId="11" borderId="11" xfId="0" applyFont="1" applyFill="1" applyBorder="1" applyAlignment="1" applyProtection="1">
      <alignment horizontal="center" vertical="top"/>
    </xf>
    <xf numFmtId="0" fontId="50" fillId="11" borderId="14" xfId="0" applyFont="1" applyFill="1" applyBorder="1" applyAlignment="1" applyProtection="1">
      <alignment horizontal="right" vertical="top" wrapText="1"/>
    </xf>
    <xf numFmtId="0" fontId="50" fillId="11" borderId="8" xfId="0" applyFont="1" applyFill="1" applyBorder="1" applyAlignment="1" applyProtection="1">
      <alignment horizontal="center" vertical="top" wrapText="1"/>
    </xf>
    <xf numFmtId="0" fontId="50" fillId="11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50" fillId="0" borderId="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10" fontId="15" fillId="11" borderId="12" xfId="16" applyNumberFormat="1" applyFont="1" applyFill="1" applyBorder="1" applyAlignment="1" applyProtection="1">
      <alignment horizontal="center"/>
      <protection locked="0"/>
    </xf>
    <xf numFmtId="0" fontId="50" fillId="11" borderId="12" xfId="0" applyFont="1" applyFill="1" applyBorder="1" applyAlignment="1" applyProtection="1">
      <alignment horizontal="center" vertical="center"/>
    </xf>
    <xf numFmtId="0" fontId="25" fillId="0" borderId="14" xfId="0" applyNumberFormat="1" applyFont="1" applyBorder="1" applyAlignment="1" applyProtection="1">
      <alignment horizontal="left" vertical="center" wrapText="1"/>
      <protection locked="0"/>
    </xf>
    <xf numFmtId="0" fontId="50" fillId="11" borderId="12" xfId="0" applyFont="1" applyFill="1" applyBorder="1" applyAlignment="1" applyProtection="1">
      <alignment horizontal="center" vertical="center" wrapText="1"/>
    </xf>
    <xf numFmtId="0" fontId="50" fillId="11" borderId="12" xfId="0" applyFont="1" applyFill="1" applyBorder="1" applyAlignment="1" applyProtection="1">
      <alignment horizontal="center"/>
    </xf>
    <xf numFmtId="10" fontId="15" fillId="11" borderId="11" xfId="16" applyNumberFormat="1" applyFont="1" applyFill="1" applyBorder="1" applyAlignment="1" applyProtection="1">
      <alignment horizontal="center"/>
      <protection locked="0"/>
    </xf>
    <xf numFmtId="10" fontId="15" fillId="11" borderId="6" xfId="16" applyNumberFormat="1" applyFont="1" applyFill="1" applyBorder="1" applyAlignment="1" applyProtection="1">
      <alignment horizontal="center"/>
      <protection locked="0"/>
    </xf>
    <xf numFmtId="10" fontId="15" fillId="11" borderId="8" xfId="16" applyNumberFormat="1" applyFont="1" applyFill="1" applyBorder="1" applyAlignment="1" applyProtection="1">
      <alignment horizontal="center"/>
      <protection locked="0"/>
    </xf>
    <xf numFmtId="10" fontId="15" fillId="0" borderId="11" xfId="16" applyNumberFormat="1" applyFont="1" applyFill="1" applyBorder="1" applyAlignment="1" applyProtection="1">
      <alignment horizontal="center"/>
    </xf>
    <xf numFmtId="10" fontId="15" fillId="0" borderId="8" xfId="16" applyNumberFormat="1" applyFont="1" applyFill="1" applyBorder="1" applyAlignment="1" applyProtection="1">
      <alignment horizontal="center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1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/>
    </xf>
    <xf numFmtId="165" fontId="15" fillId="11" borderId="12" xfId="20" applyFont="1" applyFill="1" applyBorder="1" applyAlignment="1" applyProtection="1">
      <alignment horizontal="center"/>
      <protection locked="0"/>
    </xf>
    <xf numFmtId="165" fontId="15" fillId="11" borderId="4" xfId="2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/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0" builtinId="0"/>
    <cellStyle name="Normal 2" xfId="13"/>
    <cellStyle name="Normal 3" xfId="14"/>
    <cellStyle name="Note" xfId="15"/>
    <cellStyle name="Porcentagem" xfId="16" builtinId="5"/>
    <cellStyle name="Separador de milhares 2" xfId="17"/>
    <cellStyle name="Status" xfId="18"/>
    <cellStyle name="Text" xfId="19"/>
    <cellStyle name="Vírgula" xfId="20" builtinId="3"/>
    <cellStyle name="Vírgula 2" xfId="21"/>
    <cellStyle name="Warning" xfId="22"/>
  </cellStyles>
  <dxfs count="27"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0606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showGridLines="0" tabSelected="1" zoomScale="80" zoomScaleNormal="80" workbookViewId="0">
      <selection activeCell="B9" sqref="B9:B13"/>
    </sheetView>
  </sheetViews>
  <sheetFormatPr defaultColWidth="9.1796875" defaultRowHeight="12.5" x14ac:dyDescent="0.25"/>
  <cols>
    <col min="1" max="1" width="73" style="1" customWidth="1"/>
    <col min="2" max="2" width="67.54296875" style="1" customWidth="1"/>
    <col min="3" max="16384" width="9.1796875" style="1"/>
  </cols>
  <sheetData>
    <row r="1" spans="1:256" ht="18" x14ac:dyDescent="0.25">
      <c r="A1" s="766" t="s">
        <v>1040</v>
      </c>
      <c r="B1" s="766"/>
    </row>
    <row r="2" spans="1:256" ht="18" x14ac:dyDescent="0.25">
      <c r="A2" s="763" t="s">
        <v>0</v>
      </c>
      <c r="B2" s="763"/>
    </row>
    <row r="3" spans="1:256" ht="22.5" customHeight="1" x14ac:dyDescent="0.25">
      <c r="A3" s="763" t="s">
        <v>1041</v>
      </c>
      <c r="B3" s="763"/>
      <c r="D3" s="767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767"/>
      <c r="F3" s="767"/>
      <c r="G3" s="767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" customFormat="1" ht="22.5" customHeight="1" x14ac:dyDescent="0.35">
      <c r="A4" s="768" t="s">
        <v>1</v>
      </c>
      <c r="B4" s="768"/>
      <c r="C4" s="3"/>
      <c r="D4" s="767"/>
      <c r="E4" s="767"/>
      <c r="F4" s="767"/>
      <c r="G4" s="767"/>
      <c r="H4" s="3"/>
      <c r="I4" s="3"/>
      <c r="II4" s="769" t="s">
        <v>2</v>
      </c>
      <c r="IJ4" s="769"/>
      <c r="IK4" s="769"/>
      <c r="IL4" s="769"/>
      <c r="IM4" s="769"/>
      <c r="IN4" s="769"/>
      <c r="IO4" s="2">
        <f>IF($A$5=IP4,1,0)</f>
        <v>0</v>
      </c>
      <c r="IP4" s="762" t="s">
        <v>3</v>
      </c>
      <c r="IQ4" s="762"/>
      <c r="IR4" s="762"/>
      <c r="IS4" s="762"/>
      <c r="IT4" s="762"/>
      <c r="IU4" s="762"/>
      <c r="IV4" s="762"/>
    </row>
    <row r="5" spans="1:256" ht="18" x14ac:dyDescent="0.25">
      <c r="A5" s="763" t="s">
        <v>4</v>
      </c>
      <c r="B5" s="763"/>
      <c r="D5" s="767"/>
      <c r="E5" s="767"/>
      <c r="F5" s="767"/>
      <c r="G5" s="767"/>
      <c r="II5" s="769"/>
      <c r="IJ5" s="769"/>
      <c r="IK5" s="769"/>
      <c r="IL5" s="769"/>
      <c r="IM5" s="769"/>
      <c r="IN5" s="769"/>
      <c r="IO5" s="2"/>
      <c r="IP5" s="2"/>
      <c r="IQ5" s="2"/>
      <c r="IR5" s="2"/>
      <c r="IS5" s="2"/>
      <c r="IT5" s="2">
        <f t="shared" ref="IT5:IT10" si="0">IF($A$5=IV5,1,0)</f>
        <v>0</v>
      </c>
      <c r="IU5" s="2"/>
      <c r="IV5" s="5" t="s">
        <v>5</v>
      </c>
    </row>
    <row r="6" spans="1:256" ht="22.5" x14ac:dyDescent="0.25">
      <c r="A6" s="764" t="s">
        <v>6</v>
      </c>
      <c r="B6" s="764"/>
      <c r="D6" s="767"/>
      <c r="E6" s="767"/>
      <c r="F6" s="767"/>
      <c r="G6" s="767"/>
      <c r="II6" s="769"/>
      <c r="IJ6" s="769"/>
      <c r="IK6" s="769"/>
      <c r="IL6" s="769"/>
      <c r="IM6" s="769"/>
      <c r="IN6" s="769"/>
      <c r="IO6" s="2"/>
      <c r="IP6" s="2"/>
      <c r="IQ6" s="2"/>
      <c r="IR6" s="2"/>
      <c r="IS6" s="2"/>
      <c r="IT6" s="2">
        <f t="shared" si="0"/>
        <v>1</v>
      </c>
      <c r="IU6" s="2"/>
      <c r="IV6" s="5" t="s">
        <v>4</v>
      </c>
    </row>
    <row r="7" spans="1:256" ht="23" x14ac:dyDescent="0.25">
      <c r="A7" s="765" t="str">
        <f>IF(B19="","Por favor, informe o endereço eletrônico do Portal da Transparência.","")</f>
        <v/>
      </c>
      <c r="B7" s="765"/>
      <c r="D7" s="767"/>
      <c r="E7" s="767"/>
      <c r="F7" s="767"/>
      <c r="G7" s="767"/>
      <c r="II7" s="769"/>
      <c r="IJ7" s="769"/>
      <c r="IK7" s="769"/>
      <c r="IL7" s="769"/>
      <c r="IM7" s="769"/>
      <c r="IN7" s="769"/>
      <c r="IO7" s="2"/>
      <c r="IP7" s="2"/>
      <c r="IQ7" s="2"/>
      <c r="IR7" s="2"/>
      <c r="IS7" s="2"/>
      <c r="IT7" s="2">
        <f t="shared" si="0"/>
        <v>0</v>
      </c>
      <c r="IU7" s="2"/>
      <c r="IV7" s="5" t="s">
        <v>7</v>
      </c>
    </row>
    <row r="8" spans="1:256" ht="18" x14ac:dyDescent="0.25">
      <c r="A8" s="6" t="s">
        <v>8</v>
      </c>
      <c r="B8" s="7"/>
      <c r="II8" s="769"/>
      <c r="IJ8" s="769"/>
      <c r="IK8" s="769"/>
      <c r="IL8" s="769"/>
      <c r="IM8" s="769"/>
      <c r="IN8" s="769"/>
      <c r="IO8" s="2"/>
      <c r="IP8" s="2"/>
      <c r="IQ8" s="2"/>
      <c r="IR8" s="2"/>
      <c r="IS8" s="2"/>
      <c r="IT8" s="2">
        <f t="shared" si="0"/>
        <v>0</v>
      </c>
      <c r="IU8" s="2"/>
      <c r="IV8" s="5" t="s">
        <v>9</v>
      </c>
    </row>
    <row r="9" spans="1:256" x14ac:dyDescent="0.25">
      <c r="A9" s="8" t="s">
        <v>10</v>
      </c>
      <c r="B9" s="755" t="s">
        <v>1032</v>
      </c>
      <c r="C9" s="9">
        <f>IF(B9="",1,0)</f>
        <v>0</v>
      </c>
      <c r="II9" s="769"/>
      <c r="IJ9" s="769"/>
      <c r="IK9" s="769"/>
      <c r="IL9" s="769"/>
      <c r="IM9" s="769"/>
      <c r="IN9" s="769"/>
      <c r="IO9" s="2"/>
      <c r="IP9" s="2"/>
      <c r="IQ9" s="2"/>
      <c r="IR9" s="2"/>
      <c r="IS9" s="2"/>
      <c r="IT9" s="2">
        <f t="shared" si="0"/>
        <v>0</v>
      </c>
      <c r="IU9" s="2"/>
      <c r="IV9" s="5" t="s">
        <v>11</v>
      </c>
    </row>
    <row r="10" spans="1:256" x14ac:dyDescent="0.25">
      <c r="A10" s="10" t="s">
        <v>12</v>
      </c>
      <c r="B10" s="761" t="s">
        <v>1042</v>
      </c>
      <c r="C10" s="9">
        <f>IF(B10="",1,0)</f>
        <v>0</v>
      </c>
      <c r="II10" s="769"/>
      <c r="IJ10" s="769"/>
      <c r="IK10" s="769"/>
      <c r="IL10" s="769"/>
      <c r="IM10" s="769"/>
      <c r="IN10" s="769"/>
      <c r="IO10" s="2"/>
      <c r="IP10" s="2"/>
      <c r="IQ10" s="2"/>
      <c r="IR10" s="2"/>
      <c r="IS10" s="2"/>
      <c r="IT10" s="2">
        <f t="shared" si="0"/>
        <v>0</v>
      </c>
      <c r="IU10" s="2"/>
      <c r="IV10" s="5" t="s">
        <v>13</v>
      </c>
    </row>
    <row r="11" spans="1:256" x14ac:dyDescent="0.25">
      <c r="A11" s="8" t="s">
        <v>14</v>
      </c>
      <c r="B11" s="755" t="s">
        <v>1033</v>
      </c>
      <c r="C11" s="9">
        <f>IF(B11="",1,0)</f>
        <v>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>
        <f>SUM(IT5:IT10)+IO4</f>
        <v>1</v>
      </c>
      <c r="IU11" s="2"/>
      <c r="IV11" s="2"/>
    </row>
    <row r="12" spans="1:256" x14ac:dyDescent="0.25">
      <c r="A12" s="10" t="s">
        <v>15</v>
      </c>
      <c r="B12" s="755" t="s">
        <v>1034</v>
      </c>
      <c r="C12" s="9">
        <f>IF(B12="",1,0)</f>
        <v>0</v>
      </c>
    </row>
    <row r="13" spans="1:256" x14ac:dyDescent="0.25">
      <c r="A13" s="8" t="s">
        <v>16</v>
      </c>
      <c r="B13" s="755" t="s">
        <v>1035</v>
      </c>
      <c r="C13" s="9">
        <f>IF(B13="",1,0)</f>
        <v>0</v>
      </c>
    </row>
    <row r="14" spans="1:256" ht="18" x14ac:dyDescent="0.25">
      <c r="A14" s="6" t="s">
        <v>17</v>
      </c>
      <c r="B14" s="7"/>
      <c r="C14" s="9"/>
    </row>
    <row r="15" spans="1:256" x14ac:dyDescent="0.25">
      <c r="A15" s="8" t="s">
        <v>18</v>
      </c>
      <c r="B15" s="756" t="s">
        <v>1039</v>
      </c>
      <c r="C15" s="9">
        <f>IF(B15="",1,0)</f>
        <v>0</v>
      </c>
    </row>
    <row r="16" spans="1:256" ht="14.5" x14ac:dyDescent="0.25">
      <c r="A16" s="11" t="s">
        <v>19</v>
      </c>
      <c r="B16" s="760">
        <v>42880</v>
      </c>
      <c r="C16" s="9">
        <f>IF(B16="",1,0)</f>
        <v>0</v>
      </c>
    </row>
    <row r="17" spans="1:3" x14ac:dyDescent="0.25">
      <c r="A17" s="8" t="s">
        <v>20</v>
      </c>
      <c r="B17" s="759">
        <v>42885</v>
      </c>
      <c r="C17" s="9">
        <f>IF(B17="",1,0)</f>
        <v>0</v>
      </c>
    </row>
    <row r="18" spans="1:3" ht="18" x14ac:dyDescent="0.25">
      <c r="A18" s="6" t="s">
        <v>21</v>
      </c>
      <c r="B18" s="7"/>
      <c r="C18" s="9"/>
    </row>
    <row r="19" spans="1:3" ht="15.5" x14ac:dyDescent="0.25">
      <c r="A19" s="12" t="s">
        <v>22</v>
      </c>
      <c r="B19" s="756" t="s">
        <v>1036</v>
      </c>
      <c r="C19" s="9">
        <f>IF(B19="",1,0)</f>
        <v>0</v>
      </c>
    </row>
    <row r="20" spans="1:3" x14ac:dyDescent="0.25">
      <c r="A20" s="10" t="s">
        <v>23</v>
      </c>
      <c r="B20" s="757" t="s">
        <v>1037</v>
      </c>
      <c r="C20" s="9">
        <f>IF(B20="",1,0)</f>
        <v>0</v>
      </c>
    </row>
    <row r="21" spans="1:3" x14ac:dyDescent="0.25">
      <c r="A21" s="13" t="s">
        <v>24</v>
      </c>
      <c r="B21" s="757" t="s">
        <v>1038</v>
      </c>
      <c r="C21" s="9">
        <f>IF(B21="",1,0)</f>
        <v>0</v>
      </c>
    </row>
    <row r="22" spans="1:3" x14ac:dyDescent="0.25">
      <c r="A22" s="14" t="s">
        <v>25</v>
      </c>
      <c r="B22" s="758" t="s">
        <v>1036</v>
      </c>
      <c r="C22" s="9">
        <f>IF(B22="",1,0)</f>
        <v>0</v>
      </c>
    </row>
    <row r="23" spans="1:3" x14ac:dyDescent="0.25">
      <c r="C23" s="9">
        <f>MAX(C9:C22)</f>
        <v>0</v>
      </c>
    </row>
    <row r="1000" spans="1:1" x14ac:dyDescent="0.25">
      <c r="A1000" s="15" t="s">
        <v>26</v>
      </c>
    </row>
    <row r="1001" spans="1:1" x14ac:dyDescent="0.25">
      <c r="A1001" s="15"/>
    </row>
    <row r="1002" spans="1:1" x14ac:dyDescent="0.25">
      <c r="A1002" s="15"/>
    </row>
    <row r="1003" spans="1:1" x14ac:dyDescent="0.25">
      <c r="A1003" s="15"/>
    </row>
    <row r="1004" spans="1:1" x14ac:dyDescent="0.25">
      <c r="A1004" s="15"/>
    </row>
    <row r="1005" spans="1:1" x14ac:dyDescent="0.25">
      <c r="A1005" s="15"/>
    </row>
    <row r="1006" spans="1:1" x14ac:dyDescent="0.25">
      <c r="A1006" s="15"/>
    </row>
    <row r="1007" spans="1:1" x14ac:dyDescent="0.25">
      <c r="A1007" s="15"/>
    </row>
    <row r="1008" spans="1:1" x14ac:dyDescent="0.25">
      <c r="A1008" s="15"/>
    </row>
    <row r="1009" spans="1:1" x14ac:dyDescent="0.25">
      <c r="A1009" s="15"/>
    </row>
    <row r="1010" spans="1:1" x14ac:dyDescent="0.25">
      <c r="A1010" s="15" t="s">
        <v>27</v>
      </c>
    </row>
  </sheetData>
  <sheetProtection password="F3F6" sheet="1" selectLockedCells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6" priority="1" stopIfTrue="1">
      <formula>$B$19=""</formula>
    </cfRule>
  </conditionalFormatting>
  <conditionalFormatting sqref="D7:F7">
    <cfRule type="expression" dxfId="25" priority="2" stopIfTrue="1">
      <formula>XFB15&lt;&gt;1</formula>
    </cfRule>
  </conditionalFormatting>
  <conditionalFormatting sqref="G3:G7">
    <cfRule type="expression" dxfId="24" priority="3" stopIfTrue="1">
      <formula>A11&lt;&gt;1</formula>
    </cfRule>
  </conditionalFormatting>
  <conditionalFormatting sqref="D3:F4">
    <cfRule type="expression" dxfId="23" priority="4" stopIfTrue="1">
      <formula>XFB11&lt;&gt;1</formula>
    </cfRule>
  </conditionalFormatting>
  <conditionalFormatting sqref="D5:F6">
    <cfRule type="expression" dxfId="22" priority="5" stopIfTrue="1">
      <formula>XFB13&lt;&gt;1</formula>
    </cfRule>
  </conditionalFormatting>
  <dataValidations count="2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topLeftCell="A5" zoomScale="80" zoomScaleNormal="80" workbookViewId="0">
      <selection activeCell="A11" sqref="A11"/>
    </sheetView>
  </sheetViews>
  <sheetFormatPr defaultColWidth="9.1796875" defaultRowHeight="12.5" x14ac:dyDescent="0.25"/>
  <cols>
    <col min="1" max="1" width="78.54296875" style="404" customWidth="1"/>
    <col min="2" max="2" width="25.7265625" style="404" customWidth="1"/>
    <col min="3" max="6" width="12.7265625" style="404" customWidth="1"/>
    <col min="7" max="7" width="20.453125" style="404" customWidth="1"/>
    <col min="8" max="8" width="21.1796875" style="404" customWidth="1"/>
    <col min="9" max="9" width="9.1796875" style="404" customWidth="1"/>
    <col min="10" max="10" width="12.81640625" style="404" customWidth="1"/>
    <col min="11" max="11" width="21.1796875" style="404" customWidth="1"/>
    <col min="12" max="12" width="14" style="404" customWidth="1"/>
    <col min="13" max="16384" width="9.1796875" style="404"/>
  </cols>
  <sheetData>
    <row r="1" spans="1:16" ht="15.75" customHeight="1" x14ac:dyDescent="0.25">
      <c r="A1" s="983" t="s">
        <v>706</v>
      </c>
      <c r="B1" s="983"/>
      <c r="C1" s="983"/>
      <c r="D1" s="983"/>
      <c r="E1" s="983"/>
      <c r="F1" s="983"/>
    </row>
    <row r="2" spans="1:16" ht="13" x14ac:dyDescent="0.3">
      <c r="A2" s="984" t="str">
        <f>'Informações Iniciais'!A1</f>
        <v>ESTADO DO MARANHÃO - PREFEITURA MUNICIPAL DE DAVINOPOLIS</v>
      </c>
      <c r="B2" s="984"/>
      <c r="C2" s="984"/>
      <c r="D2" s="984"/>
      <c r="E2" s="984"/>
      <c r="F2" s="405"/>
      <c r="G2" s="405"/>
      <c r="H2" s="405"/>
      <c r="I2" s="405"/>
      <c r="J2" s="405"/>
      <c r="K2" s="405"/>
      <c r="L2" s="405"/>
      <c r="M2" s="405"/>
    </row>
    <row r="3" spans="1:16" ht="13" x14ac:dyDescent="0.3">
      <c r="A3" s="985" t="s">
        <v>1</v>
      </c>
      <c r="B3" s="985"/>
      <c r="C3" s="985"/>
      <c r="D3" s="985"/>
      <c r="E3" s="985"/>
      <c r="F3" s="405"/>
      <c r="G3" s="405"/>
      <c r="H3" s="405"/>
      <c r="I3" s="405"/>
      <c r="J3" s="405"/>
      <c r="K3" s="405"/>
      <c r="L3" s="405"/>
      <c r="M3" s="405"/>
    </row>
    <row r="4" spans="1:16" ht="13" x14ac:dyDescent="0.3">
      <c r="A4" s="986" t="s">
        <v>552</v>
      </c>
      <c r="B4" s="986"/>
      <c r="C4" s="986"/>
      <c r="D4" s="986"/>
      <c r="E4" s="986"/>
      <c r="F4" s="308"/>
      <c r="G4" s="308"/>
      <c r="H4" s="308"/>
      <c r="I4" s="308"/>
      <c r="J4" s="308"/>
      <c r="K4" s="308"/>
      <c r="L4" s="308"/>
      <c r="M4" s="308"/>
    </row>
    <row r="5" spans="1:16" ht="13" x14ac:dyDescent="0.3">
      <c r="A5" s="987" t="s">
        <v>30</v>
      </c>
      <c r="B5" s="987"/>
      <c r="C5" s="987"/>
      <c r="D5" s="987"/>
      <c r="E5" s="987"/>
      <c r="F5" s="309"/>
      <c r="G5" s="309"/>
      <c r="H5" s="309"/>
      <c r="I5" s="309"/>
      <c r="J5" s="309"/>
      <c r="K5" s="309"/>
      <c r="L5" s="309"/>
      <c r="M5" s="309"/>
    </row>
    <row r="6" spans="1:16" ht="13" x14ac:dyDescent="0.3">
      <c r="A6" s="984" t="str">
        <f>'Informações Iniciais'!A5</f>
        <v>2º Bimestre de 2017</v>
      </c>
      <c r="B6" s="984"/>
      <c r="C6" s="984"/>
      <c r="D6" s="984"/>
      <c r="E6" s="984"/>
      <c r="F6" s="405"/>
      <c r="G6" s="405"/>
      <c r="H6" s="405"/>
      <c r="I6" s="405"/>
      <c r="J6" s="405"/>
      <c r="K6" s="405"/>
      <c r="L6" s="405"/>
      <c r="M6" s="405"/>
    </row>
    <row r="7" spans="1:16" ht="14" x14ac:dyDescent="0.3">
      <c r="A7" s="978" t="str">
        <f>IF(C27&lt;&gt;(E27+G27),"ERRO!!!! O total das DESPESAS EMPENHADAS deve ser igual ao somatório dos totais das DESPESAS LIQUIDADAS e INSCRITAS EM RESTOS A PAGAR NÃO PROCESSADOS.","")</f>
        <v/>
      </c>
      <c r="B7" s="978"/>
      <c r="C7" s="978"/>
      <c r="D7" s="978"/>
      <c r="E7" s="978"/>
      <c r="F7" s="978"/>
      <c r="G7" s="978"/>
      <c r="H7" s="405"/>
      <c r="I7" s="405"/>
      <c r="J7" s="406"/>
      <c r="K7" s="406"/>
      <c r="L7" s="406"/>
      <c r="M7" s="406"/>
      <c r="N7" s="409"/>
      <c r="O7" s="409"/>
      <c r="P7" s="409"/>
    </row>
    <row r="8" spans="1:16" ht="13" x14ac:dyDescent="0.3">
      <c r="A8" s="410" t="s">
        <v>707</v>
      </c>
      <c r="B8" s="410"/>
      <c r="C8" s="410"/>
      <c r="D8" s="410"/>
      <c r="E8" s="410"/>
      <c r="F8" s="410"/>
      <c r="G8" s="411" t="s">
        <v>32</v>
      </c>
      <c r="H8" s="407"/>
      <c r="J8" s="962"/>
      <c r="K8" s="962"/>
      <c r="L8" s="962"/>
      <c r="M8" s="962"/>
      <c r="N8" s="409"/>
      <c r="O8" s="409"/>
      <c r="P8" s="409"/>
    </row>
    <row r="9" spans="1:16" ht="13" x14ac:dyDescent="0.3">
      <c r="A9" s="979" t="s">
        <v>708</v>
      </c>
      <c r="B9" s="979"/>
      <c r="C9" s="979"/>
      <c r="D9" s="979"/>
      <c r="E9" s="979"/>
      <c r="F9" s="979"/>
      <c r="G9" s="979"/>
      <c r="H9" s="412"/>
      <c r="J9" s="980"/>
      <c r="K9" s="980"/>
      <c r="L9" s="980"/>
      <c r="M9" s="980"/>
      <c r="N9" s="409"/>
      <c r="O9" s="409"/>
      <c r="P9" s="409"/>
    </row>
    <row r="10" spans="1:16" ht="30.65" customHeight="1" x14ac:dyDescent="0.3">
      <c r="A10" s="414" t="s">
        <v>709</v>
      </c>
      <c r="B10" s="952" t="s">
        <v>710</v>
      </c>
      <c r="C10" s="908" t="s">
        <v>121</v>
      </c>
      <c r="D10" s="908"/>
      <c r="E10" s="908" t="s">
        <v>122</v>
      </c>
      <c r="F10" s="908"/>
      <c r="G10" s="981" t="s">
        <v>711</v>
      </c>
      <c r="H10" s="409"/>
      <c r="J10" s="982"/>
      <c r="K10" s="982"/>
      <c r="L10" s="415"/>
      <c r="M10" s="413"/>
      <c r="N10" s="409"/>
      <c r="O10" s="409"/>
      <c r="P10" s="409"/>
    </row>
    <row r="11" spans="1:16" ht="15.65" customHeight="1" x14ac:dyDescent="0.3">
      <c r="A11" s="416" t="s">
        <v>712</v>
      </c>
      <c r="B11" s="952"/>
      <c r="C11" s="317" t="s">
        <v>40</v>
      </c>
      <c r="D11" s="318" t="s">
        <v>39</v>
      </c>
      <c r="E11" s="317" t="s">
        <v>40</v>
      </c>
      <c r="F11" s="318" t="s">
        <v>39</v>
      </c>
      <c r="G11" s="981"/>
      <c r="H11" s="409"/>
      <c r="J11" s="413"/>
      <c r="K11" s="413"/>
      <c r="L11" s="413"/>
      <c r="M11" s="417"/>
      <c r="N11" s="409"/>
      <c r="O11" s="409"/>
      <c r="P11" s="409"/>
    </row>
    <row r="12" spans="1:16" ht="15.65" customHeight="1" x14ac:dyDescent="0.3">
      <c r="A12" s="418"/>
      <c r="B12" s="419" t="s">
        <v>126</v>
      </c>
      <c r="C12" s="320" t="s">
        <v>127</v>
      </c>
      <c r="D12" s="321" t="s">
        <v>618</v>
      </c>
      <c r="E12" s="320" t="s">
        <v>619</v>
      </c>
      <c r="F12" s="321" t="s">
        <v>620</v>
      </c>
      <c r="G12" s="345" t="s">
        <v>621</v>
      </c>
      <c r="H12" s="409"/>
      <c r="J12" s="413"/>
      <c r="K12" s="413"/>
      <c r="L12" s="413"/>
      <c r="M12" s="413"/>
      <c r="N12" s="409"/>
      <c r="O12" s="409"/>
      <c r="P12" s="409"/>
    </row>
    <row r="13" spans="1:16" ht="13" x14ac:dyDescent="0.3">
      <c r="A13" s="420" t="s">
        <v>713</v>
      </c>
      <c r="B13" s="421">
        <f>B14+B17</f>
        <v>0</v>
      </c>
      <c r="C13" s="421">
        <f>C14+C17</f>
        <v>0</v>
      </c>
      <c r="D13" s="45">
        <f t="shared" ref="D13:D27" si="0">IF($B13="",0,IF($B13=0,0,C13/$B13))</f>
        <v>0</v>
      </c>
      <c r="E13" s="421">
        <f>E14+E17</f>
        <v>0</v>
      </c>
      <c r="F13" s="45">
        <f t="shared" ref="F13:F27" si="1">IF($B13="",0,IF($B13=0,0,E13/$B13))</f>
        <v>0</v>
      </c>
      <c r="G13" s="422">
        <f>G14+G17</f>
        <v>0</v>
      </c>
      <c r="H13" s="408"/>
      <c r="J13" s="409"/>
      <c r="K13" s="409"/>
      <c r="L13" s="409"/>
      <c r="M13" s="409"/>
      <c r="N13" s="409"/>
      <c r="O13" s="409"/>
      <c r="P13" s="409"/>
    </row>
    <row r="14" spans="1:16" ht="13" x14ac:dyDescent="0.3">
      <c r="A14" s="423" t="s">
        <v>714</v>
      </c>
      <c r="B14" s="424">
        <f>SUM(B15:B16)</f>
        <v>0</v>
      </c>
      <c r="C14" s="424">
        <f>SUM(C15:C16)</f>
        <v>0</v>
      </c>
      <c r="D14" s="45">
        <f t="shared" si="0"/>
        <v>0</v>
      </c>
      <c r="E14" s="424">
        <f>SUM(E15:E16)</f>
        <v>0</v>
      </c>
      <c r="F14" s="45">
        <f t="shared" si="1"/>
        <v>0</v>
      </c>
      <c r="G14" s="21">
        <f>SUM(G15:G16)</f>
        <v>0</v>
      </c>
      <c r="H14" s="408"/>
    </row>
    <row r="15" spans="1:16" ht="13" x14ac:dyDescent="0.3">
      <c r="A15" s="423" t="s">
        <v>715</v>
      </c>
      <c r="B15" s="86"/>
      <c r="C15" s="86"/>
      <c r="D15" s="45">
        <f t="shared" si="0"/>
        <v>0</v>
      </c>
      <c r="E15" s="383"/>
      <c r="F15" s="45">
        <f t="shared" si="1"/>
        <v>0</v>
      </c>
      <c r="G15" s="86"/>
      <c r="H15" s="408"/>
    </row>
    <row r="16" spans="1:16" ht="13" x14ac:dyDescent="0.3">
      <c r="A16" s="423" t="s">
        <v>716</v>
      </c>
      <c r="B16" s="85"/>
      <c r="C16" s="85"/>
      <c r="D16" s="45">
        <f t="shared" si="0"/>
        <v>0</v>
      </c>
      <c r="E16" s="85"/>
      <c r="F16" s="45">
        <f t="shared" si="1"/>
        <v>0</v>
      </c>
      <c r="G16" s="126"/>
      <c r="H16" s="408"/>
    </row>
    <row r="17" spans="1:8" ht="13" x14ac:dyDescent="0.3">
      <c r="A17" s="423" t="s">
        <v>717</v>
      </c>
      <c r="B17" s="424">
        <f>SUM(B18:B19)</f>
        <v>0</v>
      </c>
      <c r="C17" s="424">
        <f>SUM(C18:C19)</f>
        <v>0</v>
      </c>
      <c r="D17" s="45">
        <f t="shared" si="0"/>
        <v>0</v>
      </c>
      <c r="E17" s="424">
        <f>SUM(E18:E19)</f>
        <v>0</v>
      </c>
      <c r="F17" s="45">
        <f t="shared" si="1"/>
        <v>0</v>
      </c>
      <c r="G17" s="151">
        <f>SUM(G18:G19)</f>
        <v>0</v>
      </c>
      <c r="H17" s="408"/>
    </row>
    <row r="18" spans="1:8" ht="13" x14ac:dyDescent="0.3">
      <c r="A18" s="423" t="s">
        <v>715</v>
      </c>
      <c r="B18" s="126"/>
      <c r="C18" s="382"/>
      <c r="D18" s="45">
        <f t="shared" si="0"/>
        <v>0</v>
      </c>
      <c r="E18" s="353"/>
      <c r="F18" s="45">
        <f t="shared" si="1"/>
        <v>0</v>
      </c>
      <c r="G18" s="86"/>
      <c r="H18" s="408"/>
    </row>
    <row r="19" spans="1:8" ht="13" x14ac:dyDescent="0.3">
      <c r="A19" s="423" t="s">
        <v>716</v>
      </c>
      <c r="B19" s="126"/>
      <c r="C19" s="86"/>
      <c r="D19" s="45">
        <f t="shared" si="0"/>
        <v>0</v>
      </c>
      <c r="E19" s="86"/>
      <c r="F19" s="45">
        <f t="shared" si="1"/>
        <v>0</v>
      </c>
      <c r="G19" s="425"/>
      <c r="H19" s="409"/>
    </row>
    <row r="20" spans="1:8" ht="13" x14ac:dyDescent="0.3">
      <c r="A20" s="420" t="s">
        <v>718</v>
      </c>
      <c r="B20" s="424">
        <f>SUM(B21:B22)</f>
        <v>0</v>
      </c>
      <c r="C20" s="424">
        <f>SUM(C21:C22)</f>
        <v>0</v>
      </c>
      <c r="D20" s="45">
        <f t="shared" si="0"/>
        <v>0</v>
      </c>
      <c r="E20" s="424">
        <f>SUM(E21:E22)</f>
        <v>0</v>
      </c>
      <c r="F20" s="45">
        <f t="shared" si="1"/>
        <v>0</v>
      </c>
      <c r="G20" s="151">
        <f>SUM(G21:G22)</f>
        <v>0</v>
      </c>
      <c r="H20" s="409"/>
    </row>
    <row r="21" spans="1:8" ht="13" x14ac:dyDescent="0.3">
      <c r="A21" s="420" t="s">
        <v>719</v>
      </c>
      <c r="B21" s="426"/>
      <c r="C21" s="425"/>
      <c r="D21" s="45">
        <f t="shared" si="0"/>
        <v>0</v>
      </c>
      <c r="E21" s="425"/>
      <c r="F21" s="45">
        <f t="shared" si="1"/>
        <v>0</v>
      </c>
      <c r="G21" s="426"/>
      <c r="H21" s="409"/>
    </row>
    <row r="22" spans="1:8" ht="13" x14ac:dyDescent="0.3">
      <c r="A22" s="420" t="s">
        <v>720</v>
      </c>
      <c r="B22" s="426"/>
      <c r="C22" s="425"/>
      <c r="D22" s="45">
        <f t="shared" si="0"/>
        <v>0</v>
      </c>
      <c r="E22" s="425"/>
      <c r="F22" s="45">
        <f t="shared" si="1"/>
        <v>0</v>
      </c>
      <c r="G22" s="426"/>
      <c r="H22" s="409"/>
    </row>
    <row r="23" spans="1:8" ht="13" x14ac:dyDescent="0.3">
      <c r="A23" s="420" t="s">
        <v>721</v>
      </c>
      <c r="B23" s="426"/>
      <c r="C23" s="425"/>
      <c r="D23" s="45">
        <f t="shared" si="0"/>
        <v>0</v>
      </c>
      <c r="E23" s="425"/>
      <c r="F23" s="45">
        <f t="shared" si="1"/>
        <v>0</v>
      </c>
      <c r="G23" s="426"/>
      <c r="H23" s="409"/>
    </row>
    <row r="24" spans="1:8" ht="13" x14ac:dyDescent="0.3">
      <c r="A24" s="420" t="s">
        <v>722</v>
      </c>
      <c r="B24" s="426"/>
      <c r="C24" s="425"/>
      <c r="D24" s="45">
        <f t="shared" si="0"/>
        <v>0</v>
      </c>
      <c r="E24" s="425"/>
      <c r="F24" s="45">
        <f t="shared" si="1"/>
        <v>0</v>
      </c>
      <c r="G24" s="426"/>
      <c r="H24" s="409"/>
    </row>
    <row r="25" spans="1:8" ht="13" x14ac:dyDescent="0.3">
      <c r="A25" s="420" t="s">
        <v>723</v>
      </c>
      <c r="B25" s="426"/>
      <c r="C25" s="425"/>
      <c r="D25" s="45">
        <f t="shared" si="0"/>
        <v>0</v>
      </c>
      <c r="E25" s="425"/>
      <c r="F25" s="45">
        <f t="shared" si="1"/>
        <v>0</v>
      </c>
      <c r="G25" s="426"/>
      <c r="H25" s="409"/>
    </row>
    <row r="26" spans="1:8" ht="13" x14ac:dyDescent="0.3">
      <c r="A26" s="420" t="s">
        <v>724</v>
      </c>
      <c r="B26" s="426"/>
      <c r="C26" s="425"/>
      <c r="D26" s="45">
        <f t="shared" si="0"/>
        <v>0</v>
      </c>
      <c r="E26" s="425"/>
      <c r="F26" s="45">
        <f t="shared" si="1"/>
        <v>0</v>
      </c>
      <c r="G26" s="427"/>
      <c r="H26" s="409"/>
    </row>
    <row r="27" spans="1:8" ht="13" x14ac:dyDescent="0.3">
      <c r="A27" s="428" t="s">
        <v>725</v>
      </c>
      <c r="B27" s="429">
        <f>SUM(B13,B20,B23:B26)</f>
        <v>0</v>
      </c>
      <c r="C27" s="429">
        <f>SUM(C13,C20,C23:C26)</f>
        <v>0</v>
      </c>
      <c r="D27" s="385">
        <f t="shared" si="0"/>
        <v>0</v>
      </c>
      <c r="E27" s="429">
        <f>SUM(E13,E20,E23:E26)</f>
        <v>0</v>
      </c>
      <c r="F27" s="385">
        <f t="shared" si="1"/>
        <v>0</v>
      </c>
      <c r="G27" s="430">
        <f>SUM(G13,G20,G23:G26)</f>
        <v>0</v>
      </c>
      <c r="H27" s="409"/>
    </row>
    <row r="28" spans="1:8" ht="19.5" customHeight="1" x14ac:dyDescent="0.25">
      <c r="A28" s="975" t="s">
        <v>661</v>
      </c>
      <c r="B28" s="975"/>
      <c r="C28" s="975"/>
      <c r="D28" s="975"/>
      <c r="E28" s="975"/>
      <c r="F28" s="976" t="s">
        <v>411</v>
      </c>
      <c r="G28" s="976"/>
    </row>
    <row r="29" spans="1:8" ht="12.75" customHeight="1" x14ac:dyDescent="0.3">
      <c r="A29" s="973" t="s">
        <v>726</v>
      </c>
      <c r="B29" s="973"/>
      <c r="C29" s="973"/>
      <c r="D29" s="973"/>
      <c r="E29" s="973"/>
      <c r="F29" s="977"/>
      <c r="G29" s="977"/>
    </row>
    <row r="30" spans="1:8" ht="12.75" customHeight="1" x14ac:dyDescent="0.3">
      <c r="A30" s="973" t="s">
        <v>727</v>
      </c>
      <c r="B30" s="973"/>
      <c r="C30" s="973"/>
      <c r="D30" s="973"/>
      <c r="E30" s="973"/>
      <c r="F30" s="974"/>
      <c r="G30" s="974"/>
    </row>
    <row r="31" spans="1:8" ht="12.75" customHeight="1" x14ac:dyDescent="0.3">
      <c r="A31" s="973" t="s">
        <v>728</v>
      </c>
      <c r="B31" s="973"/>
      <c r="C31" s="973"/>
      <c r="D31" s="973"/>
      <c r="E31" s="973"/>
      <c r="F31" s="974"/>
      <c r="G31" s="974"/>
    </row>
    <row r="32" spans="1:8" ht="13.5" customHeight="1" x14ac:dyDescent="0.3">
      <c r="A32" s="973" t="s">
        <v>729</v>
      </c>
      <c r="B32" s="973"/>
      <c r="C32" s="973"/>
      <c r="D32" s="973"/>
      <c r="E32" s="973"/>
      <c r="F32" s="974"/>
      <c r="G32" s="974"/>
    </row>
    <row r="33" spans="1:7" ht="13.5" customHeight="1" x14ac:dyDescent="0.3">
      <c r="A33" s="973" t="s">
        <v>730</v>
      </c>
      <c r="B33" s="973"/>
      <c r="C33" s="973"/>
      <c r="D33" s="973"/>
      <c r="E33" s="973"/>
      <c r="F33" s="974"/>
      <c r="G33" s="974"/>
    </row>
    <row r="34" spans="1:7" s="431" customFormat="1" ht="12.75" customHeight="1" x14ac:dyDescent="0.3">
      <c r="A34" s="969" t="s">
        <v>731</v>
      </c>
      <c r="B34" s="969"/>
      <c r="C34" s="969"/>
      <c r="D34" s="969"/>
      <c r="E34" s="969"/>
      <c r="F34" s="970"/>
      <c r="G34" s="970"/>
    </row>
    <row r="35" spans="1:7" ht="14.25" customHeight="1" x14ac:dyDescent="0.3">
      <c r="A35" s="971" t="s">
        <v>732</v>
      </c>
      <c r="B35" s="971"/>
      <c r="C35" s="971"/>
      <c r="D35" s="971"/>
      <c r="E35" s="971"/>
      <c r="F35" s="972">
        <f>SUM(F29:G34)</f>
        <v>0</v>
      </c>
      <c r="G35" s="972"/>
    </row>
    <row r="36" spans="1:7" ht="12.75" customHeight="1" x14ac:dyDescent="0.3">
      <c r="A36" s="971" t="s">
        <v>733</v>
      </c>
      <c r="B36" s="971"/>
      <c r="C36" s="971"/>
      <c r="D36" s="971"/>
      <c r="E36" s="971"/>
      <c r="F36" s="972">
        <f>E27-F35</f>
        <v>0</v>
      </c>
      <c r="G36" s="972"/>
    </row>
    <row r="37" spans="1:7" ht="12.75" customHeight="1" x14ac:dyDescent="0.25">
      <c r="A37" s="968" t="s">
        <v>734</v>
      </c>
      <c r="B37" s="968"/>
      <c r="C37" s="968"/>
    </row>
  </sheetData>
  <sheetProtection password="F3F6" sheet="1" selectLockedCells="1"/>
  <mergeCells count="34">
    <mergeCell ref="A1:F1"/>
    <mergeCell ref="A2:E2"/>
    <mergeCell ref="A3:E3"/>
    <mergeCell ref="A4:E4"/>
    <mergeCell ref="A5:E5"/>
    <mergeCell ref="A6:E6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="80" zoomScaleNormal="80" workbookViewId="0">
      <selection activeCell="B17" sqref="B17:C17"/>
    </sheetView>
  </sheetViews>
  <sheetFormatPr defaultColWidth="6.7265625" defaultRowHeight="11.25" customHeight="1" x14ac:dyDescent="0.3"/>
  <cols>
    <col min="1" max="1" width="41.26953125" style="309" customWidth="1"/>
    <col min="2" max="6" width="8.7265625" style="309" customWidth="1"/>
    <col min="7" max="7" width="8.7265625" style="408" customWidth="1"/>
    <col min="8" max="9" width="8.7265625" style="309" customWidth="1"/>
    <col min="10" max="10" width="16.7265625" style="309" customWidth="1"/>
    <col min="11" max="16384" width="6.7265625" style="309"/>
  </cols>
  <sheetData>
    <row r="1" spans="1:11" s="433" customFormat="1" ht="15.75" customHeight="1" x14ac:dyDescent="0.35">
      <c r="A1" s="1007" t="s">
        <v>735</v>
      </c>
      <c r="B1" s="1007"/>
      <c r="C1" s="1007"/>
      <c r="D1" s="1007"/>
      <c r="E1" s="1007"/>
      <c r="F1" s="1007"/>
      <c r="G1" s="1007"/>
      <c r="H1" s="1007"/>
      <c r="I1" s="1007"/>
      <c r="J1" s="1007"/>
      <c r="K1" s="432"/>
    </row>
    <row r="2" spans="1:11" ht="11.25" customHeight="1" x14ac:dyDescent="0.3">
      <c r="A2" s="1005"/>
      <c r="B2" s="1005"/>
      <c r="C2" s="1005"/>
      <c r="D2" s="1005"/>
      <c r="E2" s="1005"/>
      <c r="F2" s="1005"/>
      <c r="G2" s="1005"/>
      <c r="H2" s="1005"/>
      <c r="I2" s="1005"/>
      <c r="J2" s="1005"/>
      <c r="K2" s="435"/>
    </row>
    <row r="3" spans="1:11" ht="12.75" customHeight="1" x14ac:dyDescent="0.3">
      <c r="A3" s="965" t="str">
        <f>'Informações Iniciais'!A1</f>
        <v>ESTADO DO MARANHÃO - PREFEITURA MUNICIPAL DE DAVINOPOLIS</v>
      </c>
      <c r="B3" s="965"/>
      <c r="C3" s="965"/>
      <c r="D3" s="965"/>
      <c r="E3" s="965"/>
      <c r="F3" s="965"/>
      <c r="G3" s="965"/>
      <c r="H3" s="965"/>
      <c r="I3" s="965"/>
      <c r="J3" s="965"/>
      <c r="K3" s="435"/>
    </row>
    <row r="4" spans="1:11" ht="12.75" customHeight="1" x14ac:dyDescent="0.3">
      <c r="A4" s="965" t="s">
        <v>1</v>
      </c>
      <c r="B4" s="965"/>
      <c r="C4" s="965"/>
      <c r="D4" s="965"/>
      <c r="E4" s="965"/>
      <c r="F4" s="965"/>
      <c r="G4" s="965"/>
      <c r="H4" s="965"/>
      <c r="I4" s="965"/>
      <c r="J4" s="965"/>
      <c r="K4" s="435"/>
    </row>
    <row r="5" spans="1:11" ht="12.75" customHeight="1" x14ac:dyDescent="0.3">
      <c r="A5" s="1006" t="s">
        <v>736</v>
      </c>
      <c r="B5" s="1006"/>
      <c r="C5" s="1006"/>
      <c r="D5" s="1006"/>
      <c r="E5" s="1006"/>
      <c r="F5" s="1006"/>
      <c r="G5" s="1006"/>
      <c r="H5" s="1006"/>
      <c r="I5" s="1006"/>
      <c r="J5" s="1006"/>
      <c r="K5" s="435"/>
    </row>
    <row r="6" spans="1:11" ht="12.75" customHeight="1" x14ac:dyDescent="0.3">
      <c r="A6" s="965" t="s">
        <v>30</v>
      </c>
      <c r="B6" s="965"/>
      <c r="C6" s="965"/>
      <c r="D6" s="965"/>
      <c r="E6" s="965"/>
      <c r="F6" s="965"/>
      <c r="G6" s="965"/>
      <c r="H6" s="965"/>
      <c r="I6" s="965"/>
      <c r="J6" s="965"/>
      <c r="K6" s="435"/>
    </row>
    <row r="7" spans="1:11" ht="12.75" customHeight="1" x14ac:dyDescent="0.3">
      <c r="A7" s="965" t="str">
        <f>'Informações Iniciais'!A5</f>
        <v>2º Bimestre de 2017</v>
      </c>
      <c r="B7" s="965"/>
      <c r="C7" s="965"/>
      <c r="D7" s="965"/>
      <c r="E7" s="965"/>
      <c r="F7" s="965"/>
      <c r="G7" s="965"/>
      <c r="H7" s="965"/>
      <c r="I7" s="965"/>
      <c r="J7" s="965"/>
      <c r="K7" s="435"/>
    </row>
    <row r="8" spans="1:11" ht="12.75" customHeight="1" x14ac:dyDescent="0.3">
      <c r="A8" s="436"/>
      <c r="B8" s="1005"/>
      <c r="C8" s="1005"/>
      <c r="D8" s="436"/>
      <c r="E8" s="436"/>
      <c r="F8" s="1005"/>
      <c r="G8" s="1005"/>
      <c r="H8" s="1005"/>
      <c r="I8" s="1005"/>
      <c r="J8" s="436"/>
      <c r="K8" s="435"/>
    </row>
    <row r="9" spans="1:11" ht="12.75" customHeight="1" x14ac:dyDescent="0.3">
      <c r="A9" s="350" t="s">
        <v>737</v>
      </c>
      <c r="B9" s="1005"/>
      <c r="C9" s="1005"/>
      <c r="D9" s="434"/>
      <c r="E9" s="434"/>
      <c r="F9" s="1005"/>
      <c r="G9" s="1005"/>
      <c r="H9" s="1005"/>
      <c r="I9" s="1005"/>
      <c r="J9" s="437" t="s">
        <v>32</v>
      </c>
      <c r="K9" s="435"/>
    </row>
    <row r="10" spans="1:11" ht="27.65" customHeight="1" x14ac:dyDescent="0.3">
      <c r="A10" s="1001" t="s">
        <v>33</v>
      </c>
      <c r="B10" s="1002" t="s">
        <v>35</v>
      </c>
      <c r="C10" s="1002"/>
      <c r="D10" s="1002"/>
      <c r="E10" s="1002"/>
      <c r="F10" s="1002" t="s">
        <v>36</v>
      </c>
      <c r="G10" s="1002"/>
      <c r="H10" s="1002"/>
      <c r="I10" s="1002"/>
      <c r="J10" s="438" t="s">
        <v>738</v>
      </c>
      <c r="K10" s="988"/>
    </row>
    <row r="11" spans="1:11" s="408" customFormat="1" ht="12.75" customHeight="1" x14ac:dyDescent="0.3">
      <c r="A11" s="1001"/>
      <c r="B11" s="998" t="s">
        <v>41</v>
      </c>
      <c r="C11" s="998"/>
      <c r="D11" s="998"/>
      <c r="E11" s="998"/>
      <c r="F11" s="998" t="s">
        <v>42</v>
      </c>
      <c r="G11" s="998"/>
      <c r="H11" s="998"/>
      <c r="I11" s="998"/>
      <c r="J11" s="440" t="s">
        <v>739</v>
      </c>
      <c r="K11" s="988"/>
    </row>
    <row r="12" spans="1:11" ht="12.75" customHeight="1" x14ac:dyDescent="0.3">
      <c r="A12" s="441" t="s">
        <v>740</v>
      </c>
      <c r="B12" s="847"/>
      <c r="C12" s="847"/>
      <c r="D12" s="847"/>
      <c r="E12" s="847"/>
      <c r="F12" s="847"/>
      <c r="G12" s="847"/>
      <c r="H12" s="847"/>
      <c r="I12" s="847"/>
      <c r="J12" s="442">
        <f>B12-F12</f>
        <v>0</v>
      </c>
      <c r="K12" s="435"/>
    </row>
    <row r="13" spans="1:11" ht="12.75" customHeight="1" x14ac:dyDescent="0.3">
      <c r="A13" s="993"/>
      <c r="B13" s="993"/>
      <c r="C13" s="993"/>
      <c r="D13" s="993"/>
      <c r="E13" s="993"/>
      <c r="F13" s="993"/>
      <c r="G13" s="993"/>
      <c r="H13" s="993"/>
      <c r="I13" s="993"/>
      <c r="J13" s="993"/>
      <c r="K13" s="435"/>
    </row>
    <row r="14" spans="1:11" ht="27" customHeight="1" x14ac:dyDescent="0.3">
      <c r="A14" s="1001" t="s">
        <v>125</v>
      </c>
      <c r="B14" s="1002" t="s">
        <v>741</v>
      </c>
      <c r="C14" s="1002"/>
      <c r="D14" s="1002" t="s">
        <v>121</v>
      </c>
      <c r="E14" s="1002"/>
      <c r="F14" s="1003" t="s">
        <v>122</v>
      </c>
      <c r="G14" s="1003"/>
      <c r="H14" s="1003" t="s">
        <v>742</v>
      </c>
      <c r="I14" s="1003"/>
      <c r="J14" s="1004" t="s">
        <v>743</v>
      </c>
      <c r="K14" s="439"/>
    </row>
    <row r="15" spans="1:11" ht="27" customHeight="1" x14ac:dyDescent="0.3">
      <c r="A15" s="1001"/>
      <c r="B15" s="1002"/>
      <c r="C15" s="1002"/>
      <c r="D15" s="1002"/>
      <c r="E15" s="1002"/>
      <c r="F15" s="1003"/>
      <c r="G15" s="1003"/>
      <c r="H15" s="1003"/>
      <c r="I15" s="1003"/>
      <c r="J15" s="1004"/>
      <c r="K15" s="988"/>
    </row>
    <row r="16" spans="1:11" ht="12.75" customHeight="1" x14ac:dyDescent="0.3">
      <c r="A16" s="1001"/>
      <c r="B16" s="998" t="s">
        <v>126</v>
      </c>
      <c r="C16" s="998"/>
      <c r="D16" s="999" t="s">
        <v>127</v>
      </c>
      <c r="E16" s="999"/>
      <c r="F16" s="1003"/>
      <c r="G16" s="1003"/>
      <c r="H16" s="1003"/>
      <c r="I16" s="1003"/>
      <c r="J16" s="443" t="s">
        <v>744</v>
      </c>
      <c r="K16" s="988"/>
    </row>
    <row r="17" spans="1:11" ht="12.75" customHeight="1" x14ac:dyDescent="0.3">
      <c r="A17" s="444" t="s">
        <v>745</v>
      </c>
      <c r="B17" s="1000">
        <v>6289855.8099999996</v>
      </c>
      <c r="C17" s="1000"/>
      <c r="D17" s="1000"/>
      <c r="E17" s="1000"/>
      <c r="F17" s="1000"/>
      <c r="G17" s="1000"/>
      <c r="H17" s="1000"/>
      <c r="I17" s="1000"/>
      <c r="J17" s="445">
        <f>B17-D17</f>
        <v>6289855.8099999996</v>
      </c>
      <c r="K17" s="435"/>
    </row>
    <row r="18" spans="1:11" ht="12.75" customHeight="1" x14ac:dyDescent="0.3">
      <c r="A18" s="446" t="s">
        <v>746</v>
      </c>
      <c r="B18" s="997"/>
      <c r="C18" s="997"/>
      <c r="D18" s="997"/>
      <c r="E18" s="997"/>
      <c r="F18" s="997"/>
      <c r="G18" s="997"/>
      <c r="H18" s="997"/>
      <c r="I18" s="997"/>
      <c r="J18" s="447">
        <f>B18-D18</f>
        <v>0</v>
      </c>
      <c r="K18" s="435"/>
    </row>
    <row r="19" spans="1:11" ht="25.5" customHeight="1" x14ac:dyDescent="0.3">
      <c r="A19" s="448" t="s">
        <v>747</v>
      </c>
      <c r="B19" s="997"/>
      <c r="C19" s="997"/>
      <c r="D19" s="997"/>
      <c r="E19" s="997"/>
      <c r="F19" s="997"/>
      <c r="G19" s="997"/>
      <c r="H19" s="997"/>
      <c r="I19" s="997"/>
      <c r="J19" s="449">
        <f>B19-D19</f>
        <v>0</v>
      </c>
      <c r="K19" s="435"/>
    </row>
    <row r="20" spans="1:11" ht="12.75" customHeight="1" x14ac:dyDescent="0.3">
      <c r="A20" s="441" t="s">
        <v>748</v>
      </c>
      <c r="B20" s="992">
        <f>B17-ABS(B18)-ABS(B19)</f>
        <v>6289855.8099999996</v>
      </c>
      <c r="C20" s="992"/>
      <c r="D20" s="992">
        <f>D17-ABS(D18)-ABS(D19)</f>
        <v>0</v>
      </c>
      <c r="E20" s="992"/>
      <c r="F20" s="992">
        <f>F17-ABS(F18)-ABS(F19)</f>
        <v>0</v>
      </c>
      <c r="G20" s="992"/>
      <c r="H20" s="992">
        <f>H17-ABS(H18)-ABS(H19)</f>
        <v>0</v>
      </c>
      <c r="I20" s="992"/>
      <c r="J20" s="445">
        <f>B20-D20</f>
        <v>6289855.8099999996</v>
      </c>
      <c r="K20" s="435"/>
    </row>
    <row r="21" spans="1:11" ht="12.75" customHeight="1" x14ac:dyDescent="0.3">
      <c r="A21" s="993"/>
      <c r="B21" s="993"/>
      <c r="C21" s="993"/>
      <c r="D21" s="993"/>
      <c r="E21" s="993"/>
      <c r="F21" s="993"/>
      <c r="G21" s="993"/>
      <c r="H21" s="993"/>
      <c r="I21" s="993"/>
      <c r="J21" s="993"/>
      <c r="K21" s="435"/>
    </row>
    <row r="22" spans="1:11" ht="12.75" customHeight="1" x14ac:dyDescent="0.3">
      <c r="A22" s="450" t="s">
        <v>749</v>
      </c>
      <c r="B22" s="994">
        <f>B12-B20</f>
        <v>-6289855.8099999996</v>
      </c>
      <c r="C22" s="994"/>
      <c r="D22" s="995">
        <f>F12-D20</f>
        <v>0</v>
      </c>
      <c r="E22" s="995"/>
      <c r="F22" s="996"/>
      <c r="G22" s="996"/>
      <c r="H22" s="996"/>
      <c r="I22" s="996"/>
      <c r="J22" s="995">
        <f>J12-J20</f>
        <v>-6289855.8099999996</v>
      </c>
      <c r="K22" s="988"/>
    </row>
    <row r="23" spans="1:11" ht="12.75" customHeight="1" x14ac:dyDescent="0.3">
      <c r="A23" s="451" t="s">
        <v>750</v>
      </c>
      <c r="B23" s="994"/>
      <c r="C23" s="994"/>
      <c r="D23" s="995"/>
      <c r="E23" s="995"/>
      <c r="F23" s="996"/>
      <c r="G23" s="996"/>
      <c r="H23" s="996"/>
      <c r="I23" s="996"/>
      <c r="J23" s="995"/>
      <c r="K23" s="988"/>
    </row>
    <row r="24" spans="1:11" ht="12.75" customHeight="1" x14ac:dyDescent="0.3">
      <c r="A24" s="989" t="s">
        <v>155</v>
      </c>
      <c r="B24" s="989"/>
      <c r="C24" s="989"/>
      <c r="D24" s="989"/>
      <c r="E24" s="989"/>
      <c r="F24" s="989"/>
      <c r="G24" s="989"/>
      <c r="H24" s="989"/>
      <c r="I24" s="989"/>
      <c r="J24" s="989"/>
      <c r="K24" s="435"/>
    </row>
    <row r="25" spans="1:11" ht="12.75" customHeight="1" x14ac:dyDescent="0.3">
      <c r="A25" s="990" t="s">
        <v>751</v>
      </c>
      <c r="B25" s="990"/>
      <c r="C25" s="990"/>
      <c r="D25" s="990"/>
      <c r="E25" s="990"/>
      <c r="F25" s="990"/>
      <c r="G25" s="990"/>
      <c r="H25" s="990"/>
      <c r="I25" s="990"/>
      <c r="J25" s="990"/>
      <c r="K25" s="988"/>
    </row>
    <row r="26" spans="1:11" ht="12.75" customHeight="1" x14ac:dyDescent="0.3">
      <c r="A26" s="991" t="s">
        <v>752</v>
      </c>
      <c r="B26" s="991"/>
      <c r="C26" s="991"/>
      <c r="D26" s="991"/>
      <c r="E26" s="991"/>
      <c r="F26" s="991"/>
      <c r="G26" s="991"/>
      <c r="H26" s="991"/>
      <c r="I26" s="991"/>
      <c r="J26" s="991"/>
      <c r="K26" s="988"/>
    </row>
  </sheetData>
  <sheetProtection password="F3F6" sheet="1" selectLockedCells="1"/>
  <mergeCells count="59">
    <mergeCell ref="A1:J1"/>
    <mergeCell ref="A2:B2"/>
    <mergeCell ref="C2:F2"/>
    <mergeCell ref="G2:H2"/>
    <mergeCell ref="I2:J2"/>
    <mergeCell ref="A3:J3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B10:E10"/>
    <mergeCell ref="F10:I10"/>
    <mergeCell ref="K10:K11"/>
    <mergeCell ref="B11:E11"/>
    <mergeCell ref="F11:I11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80" zoomScaleNormal="80" workbookViewId="0">
      <selection activeCell="H17" sqref="H17:I17"/>
    </sheetView>
  </sheetViews>
  <sheetFormatPr defaultColWidth="7.81640625" defaultRowHeight="11.25" customHeight="1" x14ac:dyDescent="0.25"/>
  <cols>
    <col min="1" max="1" width="10" style="452" customWidth="1"/>
    <col min="2" max="2" width="6.26953125" style="452" customWidth="1"/>
    <col min="3" max="3" width="14" style="452" customWidth="1"/>
    <col min="4" max="4" width="10.26953125" style="452" customWidth="1"/>
    <col min="5" max="5" width="12" style="452" customWidth="1"/>
    <col min="6" max="6" width="12.54296875" style="452" customWidth="1"/>
    <col min="7" max="7" width="10.1796875" style="452" customWidth="1"/>
    <col min="8" max="8" width="16.1796875" style="452" customWidth="1"/>
    <col min="9" max="9" width="8.453125" style="452" customWidth="1"/>
    <col min="10" max="10" width="25.54296875" style="452" customWidth="1"/>
    <col min="11" max="11" width="2.453125" style="452" customWidth="1"/>
    <col min="12" max="16384" width="7.81640625" style="452"/>
  </cols>
  <sheetData>
    <row r="1" spans="1:20" ht="15.75" customHeight="1" x14ac:dyDescent="0.3">
      <c r="A1" s="133" t="s">
        <v>753</v>
      </c>
      <c r="B1" s="453"/>
      <c r="C1" s="453"/>
    </row>
    <row r="2" spans="1:20" ht="11.25" customHeight="1" x14ac:dyDescent="0.25">
      <c r="L2" s="1021" t="s">
        <v>754</v>
      </c>
      <c r="M2" s="1021"/>
      <c r="N2" s="1021"/>
      <c r="O2" s="1021"/>
    </row>
    <row r="3" spans="1:20" ht="11.25" customHeight="1" x14ac:dyDescent="0.25">
      <c r="A3" s="1022" t="str">
        <f>'Informações Iniciais'!A1:B1</f>
        <v>ESTADO DO MARANHÃO - PREFEITURA MUNICIPAL DE DAVINOPOLIS</v>
      </c>
      <c r="B3" s="1022"/>
      <c r="C3" s="1022"/>
      <c r="D3" s="1022"/>
      <c r="E3" s="1022"/>
      <c r="F3" s="1022"/>
      <c r="G3" s="1022"/>
      <c r="H3" s="1022"/>
      <c r="I3" s="1022"/>
      <c r="J3" s="1022"/>
      <c r="L3" s="1021"/>
      <c r="M3" s="1021"/>
      <c r="N3" s="1021"/>
      <c r="O3" s="1021"/>
    </row>
    <row r="4" spans="1:20" ht="11.25" customHeight="1" x14ac:dyDescent="0.25">
      <c r="A4" s="1022" t="s">
        <v>1</v>
      </c>
      <c r="B4" s="1022"/>
      <c r="C4" s="1022"/>
      <c r="D4" s="1022"/>
      <c r="E4" s="1022"/>
      <c r="F4" s="1022"/>
      <c r="G4" s="1022"/>
      <c r="H4" s="1022"/>
      <c r="I4" s="1022"/>
      <c r="J4" s="1022"/>
    </row>
    <row r="5" spans="1:20" ht="11.25" customHeight="1" x14ac:dyDescent="0.25">
      <c r="A5" s="1023" t="s">
        <v>755</v>
      </c>
      <c r="B5" s="1023"/>
      <c r="C5" s="1023"/>
      <c r="D5" s="1023"/>
      <c r="E5" s="1023"/>
      <c r="F5" s="1023"/>
      <c r="G5" s="1023"/>
      <c r="H5" s="1023"/>
      <c r="I5" s="1023"/>
      <c r="J5" s="1023"/>
      <c r="L5" s="1024" t="s">
        <v>756</v>
      </c>
      <c r="M5" s="1024"/>
      <c r="N5" s="1024"/>
      <c r="O5" s="1024"/>
      <c r="P5" s="454"/>
      <c r="Q5" s="454"/>
      <c r="R5" s="454"/>
      <c r="S5" s="454"/>
      <c r="T5" s="454"/>
    </row>
    <row r="6" spans="1:20" ht="11.25" customHeight="1" x14ac:dyDescent="0.25">
      <c r="A6" s="1022" t="s">
        <v>366</v>
      </c>
      <c r="B6" s="1022"/>
      <c r="C6" s="1022"/>
      <c r="D6" s="1022"/>
      <c r="E6" s="1022"/>
      <c r="F6" s="1022"/>
      <c r="G6" s="1022"/>
      <c r="H6" s="1022"/>
      <c r="I6" s="1022"/>
      <c r="J6" s="1022"/>
      <c r="L6" s="1024"/>
      <c r="M6" s="1024"/>
      <c r="N6" s="1024"/>
      <c r="O6" s="1024"/>
      <c r="P6" s="454"/>
      <c r="Q6" s="454"/>
      <c r="R6" s="454"/>
      <c r="S6" s="454"/>
      <c r="T6" s="454"/>
    </row>
    <row r="7" spans="1:20" ht="11.25" customHeight="1" x14ac:dyDescent="0.25">
      <c r="A7" s="1022" t="str">
        <f>'Informações Iniciais'!A5:B5</f>
        <v>2º Bimestre de 2017</v>
      </c>
      <c r="B7" s="1022"/>
      <c r="C7" s="1022"/>
      <c r="D7" s="1022"/>
      <c r="E7" s="1022"/>
      <c r="F7" s="1022"/>
      <c r="G7" s="1022"/>
      <c r="H7" s="1022"/>
      <c r="I7" s="1022"/>
      <c r="J7" s="1022"/>
      <c r="L7" s="1024"/>
      <c r="M7" s="1024"/>
      <c r="N7" s="1024"/>
      <c r="O7" s="1024"/>
      <c r="P7" s="454"/>
      <c r="Q7" s="454"/>
      <c r="R7" s="454"/>
      <c r="S7" s="454"/>
      <c r="T7" s="454"/>
    </row>
    <row r="8" spans="1:20" ht="11.25" customHeight="1" x14ac:dyDescent="0.25">
      <c r="L8" s="1024"/>
      <c r="M8" s="1024"/>
      <c r="N8" s="1024"/>
      <c r="O8" s="1024"/>
      <c r="P8" s="454"/>
      <c r="Q8" s="454"/>
      <c r="R8" s="454"/>
      <c r="S8" s="454"/>
      <c r="T8" s="454"/>
    </row>
    <row r="9" spans="1:20" ht="11.25" customHeight="1" x14ac:dyDescent="0.25">
      <c r="A9" s="452" t="s">
        <v>757</v>
      </c>
      <c r="D9" s="455"/>
      <c r="E9" s="1025"/>
      <c r="F9" s="1025"/>
      <c r="G9" s="455"/>
      <c r="J9" s="456" t="s">
        <v>32</v>
      </c>
      <c r="L9" s="1024"/>
      <c r="M9" s="1024"/>
      <c r="N9" s="1024"/>
      <c r="O9" s="1024"/>
      <c r="P9" s="454"/>
      <c r="Q9" s="454"/>
      <c r="R9" s="454"/>
      <c r="S9" s="454"/>
      <c r="T9" s="454"/>
    </row>
    <row r="10" spans="1:20" ht="15" customHeight="1" x14ac:dyDescent="0.3">
      <c r="A10" s="1026" t="s">
        <v>758</v>
      </c>
      <c r="B10" s="1026"/>
      <c r="C10" s="1026"/>
      <c r="D10" s="1018" t="s">
        <v>759</v>
      </c>
      <c r="E10" s="1018"/>
      <c r="F10" s="1018" t="s">
        <v>125</v>
      </c>
      <c r="G10" s="1018"/>
      <c r="H10" s="1018" t="s">
        <v>760</v>
      </c>
      <c r="I10" s="1018"/>
      <c r="J10" s="457" t="s">
        <v>761</v>
      </c>
      <c r="L10" s="1024"/>
      <c r="M10" s="1024"/>
      <c r="N10" s="1024"/>
      <c r="O10" s="1024"/>
      <c r="P10" s="454"/>
      <c r="Q10" s="454"/>
      <c r="R10" s="454"/>
      <c r="S10" s="454"/>
      <c r="T10" s="454"/>
    </row>
    <row r="11" spans="1:20" ht="15" customHeight="1" x14ac:dyDescent="0.3">
      <c r="A11" s="1026"/>
      <c r="B11" s="1026"/>
      <c r="C11" s="1026"/>
      <c r="D11" s="1019" t="s">
        <v>762</v>
      </c>
      <c r="E11" s="1019"/>
      <c r="F11" s="1019" t="s">
        <v>762</v>
      </c>
      <c r="G11" s="1019"/>
      <c r="H11" s="1019" t="s">
        <v>763</v>
      </c>
      <c r="I11" s="1019"/>
      <c r="J11" s="458" t="s">
        <v>764</v>
      </c>
      <c r="L11" s="1024"/>
      <c r="M11" s="1024"/>
      <c r="N11" s="1024"/>
      <c r="O11" s="1024"/>
      <c r="P11" s="454"/>
      <c r="Q11" s="454"/>
      <c r="R11" s="454"/>
      <c r="S11" s="454"/>
      <c r="T11" s="454"/>
    </row>
    <row r="12" spans="1:20" ht="19.5" customHeight="1" x14ac:dyDescent="0.3">
      <c r="A12" s="1026"/>
      <c r="B12" s="1026"/>
      <c r="C12" s="1026"/>
      <c r="D12" s="1020" t="s">
        <v>41</v>
      </c>
      <c r="E12" s="1020"/>
      <c r="F12" s="1020" t="s">
        <v>42</v>
      </c>
      <c r="G12" s="1020"/>
      <c r="H12" s="1020" t="s">
        <v>765</v>
      </c>
      <c r="I12" s="1020"/>
      <c r="J12" s="459" t="s">
        <v>766</v>
      </c>
      <c r="L12" s="1024"/>
      <c r="M12" s="1024"/>
      <c r="N12" s="1024"/>
      <c r="O12" s="1024"/>
    </row>
    <row r="13" spans="1:20" ht="11.25" customHeight="1" x14ac:dyDescent="0.25">
      <c r="A13" s="1015">
        <v>2016</v>
      </c>
      <c r="B13" s="1015"/>
      <c r="C13" s="1015"/>
      <c r="D13" s="1016"/>
      <c r="E13" s="1016"/>
      <c r="F13" s="1016"/>
      <c r="G13" s="1016"/>
      <c r="H13" s="1017">
        <f t="shared" ref="H13:H89" si="0">D13-F13</f>
        <v>0</v>
      </c>
      <c r="I13" s="1017"/>
      <c r="J13" s="461"/>
      <c r="L13" s="1024"/>
      <c r="M13" s="1024"/>
      <c r="N13" s="1024"/>
      <c r="O13" s="1024"/>
    </row>
    <row r="14" spans="1:20" ht="11.25" customHeight="1" x14ac:dyDescent="0.25">
      <c r="A14" s="1008">
        <v>2017</v>
      </c>
      <c r="B14" s="1008"/>
      <c r="C14" s="1008"/>
      <c r="D14" s="1013"/>
      <c r="E14" s="1013"/>
      <c r="F14" s="1013"/>
      <c r="G14" s="1013"/>
      <c r="H14" s="1014">
        <f t="shared" si="0"/>
        <v>0</v>
      </c>
      <c r="I14" s="1014"/>
      <c r="J14" s="464">
        <f t="shared" ref="J14:J89" si="1">J13+H14</f>
        <v>0</v>
      </c>
      <c r="L14" s="1024"/>
      <c r="M14" s="1024"/>
      <c r="N14" s="1024"/>
      <c r="O14" s="1024"/>
    </row>
    <row r="15" spans="1:20" ht="11.25" customHeight="1" x14ac:dyDescent="0.25">
      <c r="A15" s="1008">
        <v>2018</v>
      </c>
      <c r="B15" s="1008"/>
      <c r="C15" s="1008"/>
      <c r="D15" s="1013"/>
      <c r="E15" s="1013"/>
      <c r="F15" s="462"/>
      <c r="G15" s="462"/>
      <c r="H15" s="1014">
        <f t="shared" si="0"/>
        <v>0</v>
      </c>
      <c r="I15" s="1014"/>
      <c r="J15" s="464">
        <f t="shared" si="1"/>
        <v>0</v>
      </c>
      <c r="L15" s="1024"/>
      <c r="M15" s="1024"/>
      <c r="N15" s="1024"/>
      <c r="O15" s="1024"/>
    </row>
    <row r="16" spans="1:20" ht="11.25" customHeight="1" x14ac:dyDescent="0.25">
      <c r="A16" s="1008">
        <v>2019</v>
      </c>
      <c r="B16" s="1008"/>
      <c r="C16" s="1008"/>
      <c r="D16" s="1013"/>
      <c r="E16" s="1013"/>
      <c r="F16" s="462"/>
      <c r="G16" s="462"/>
      <c r="H16" s="1014">
        <f t="shared" si="0"/>
        <v>0</v>
      </c>
      <c r="I16" s="1014"/>
      <c r="J16" s="464">
        <f t="shared" si="1"/>
        <v>0</v>
      </c>
      <c r="L16" s="1024"/>
      <c r="M16" s="1024"/>
      <c r="N16" s="1024"/>
      <c r="O16" s="1024"/>
    </row>
    <row r="17" spans="1:20" ht="15.75" customHeight="1" x14ac:dyDescent="0.25">
      <c r="A17" s="1008">
        <v>2020</v>
      </c>
      <c r="B17" s="1008"/>
      <c r="C17" s="1008"/>
      <c r="D17" s="1013"/>
      <c r="E17" s="1013"/>
      <c r="F17" s="1013"/>
      <c r="G17" s="1013"/>
      <c r="H17" s="1014">
        <f t="shared" si="0"/>
        <v>0</v>
      </c>
      <c r="I17" s="1014"/>
      <c r="J17" s="464">
        <f t="shared" si="1"/>
        <v>0</v>
      </c>
      <c r="L17" s="1024"/>
      <c r="M17" s="1024"/>
      <c r="N17" s="1024"/>
      <c r="O17" s="1024"/>
      <c r="P17" s="454"/>
      <c r="Q17" s="454"/>
      <c r="R17" s="454"/>
      <c r="S17" s="454"/>
      <c r="T17" s="454"/>
    </row>
    <row r="18" spans="1:20" ht="15.75" customHeight="1" x14ac:dyDescent="0.25">
      <c r="A18" s="1008">
        <v>2021</v>
      </c>
      <c r="B18" s="1008"/>
      <c r="C18" s="1008"/>
      <c r="D18" s="1013"/>
      <c r="E18" s="1013"/>
      <c r="F18" s="1013"/>
      <c r="G18" s="1013"/>
      <c r="H18" s="1014">
        <f t="shared" si="0"/>
        <v>0</v>
      </c>
      <c r="I18" s="1014"/>
      <c r="J18" s="464">
        <f t="shared" si="1"/>
        <v>0</v>
      </c>
      <c r="L18" s="1024"/>
      <c r="M18" s="1024"/>
      <c r="N18" s="1024"/>
      <c r="O18" s="1024"/>
      <c r="P18" s="454"/>
      <c r="Q18" s="454"/>
      <c r="R18" s="454"/>
      <c r="S18" s="454"/>
      <c r="T18" s="454"/>
    </row>
    <row r="19" spans="1:20" ht="15.75" customHeight="1" x14ac:dyDescent="0.25">
      <c r="A19" s="1008">
        <v>2022</v>
      </c>
      <c r="B19" s="1008"/>
      <c r="C19" s="1008"/>
      <c r="D19" s="1013"/>
      <c r="E19" s="1013"/>
      <c r="F19" s="1013"/>
      <c r="G19" s="1013"/>
      <c r="H19" s="1014">
        <f t="shared" si="0"/>
        <v>0</v>
      </c>
      <c r="I19" s="1014"/>
      <c r="J19" s="464">
        <f t="shared" si="1"/>
        <v>0</v>
      </c>
      <c r="L19" s="1024"/>
      <c r="M19" s="1024"/>
      <c r="N19" s="1024"/>
      <c r="O19" s="1024"/>
      <c r="P19" s="454"/>
      <c r="Q19" s="454"/>
      <c r="R19" s="454"/>
      <c r="S19" s="454"/>
      <c r="T19" s="454"/>
    </row>
    <row r="20" spans="1:20" ht="15.75" customHeight="1" x14ac:dyDescent="0.25">
      <c r="A20" s="1008">
        <v>2023</v>
      </c>
      <c r="B20" s="1008"/>
      <c r="C20" s="1008"/>
      <c r="D20" s="1013"/>
      <c r="E20" s="1013"/>
      <c r="F20" s="1013"/>
      <c r="G20" s="1013"/>
      <c r="H20" s="1014">
        <f t="shared" si="0"/>
        <v>0</v>
      </c>
      <c r="I20" s="1014"/>
      <c r="J20" s="464">
        <f t="shared" si="1"/>
        <v>0</v>
      </c>
      <c r="L20" s="1024"/>
      <c r="M20" s="1024"/>
      <c r="N20" s="1024"/>
      <c r="O20" s="1024"/>
      <c r="P20" s="454"/>
      <c r="Q20" s="454"/>
      <c r="R20" s="454"/>
      <c r="S20" s="454"/>
      <c r="T20" s="454"/>
    </row>
    <row r="21" spans="1:20" ht="15.75" customHeight="1" x14ac:dyDescent="0.25">
      <c r="A21" s="1008">
        <v>2024</v>
      </c>
      <c r="B21" s="1008"/>
      <c r="C21" s="1008"/>
      <c r="D21" s="1013"/>
      <c r="E21" s="1013"/>
      <c r="F21" s="1013"/>
      <c r="G21" s="1013"/>
      <c r="H21" s="1014">
        <f t="shared" si="0"/>
        <v>0</v>
      </c>
      <c r="I21" s="1014"/>
      <c r="J21" s="464">
        <f t="shared" si="1"/>
        <v>0</v>
      </c>
      <c r="L21" s="1024"/>
      <c r="M21" s="1024"/>
      <c r="N21" s="1024"/>
      <c r="O21" s="1024"/>
      <c r="P21" s="454"/>
      <c r="Q21" s="454"/>
      <c r="R21" s="454"/>
      <c r="S21" s="454"/>
      <c r="T21" s="454"/>
    </row>
    <row r="22" spans="1:20" ht="15.75" customHeight="1" x14ac:dyDescent="0.25">
      <c r="A22" s="1008">
        <v>2025</v>
      </c>
      <c r="B22" s="1008"/>
      <c r="C22" s="1008"/>
      <c r="D22" s="1013"/>
      <c r="E22" s="1013"/>
      <c r="F22" s="1013"/>
      <c r="G22" s="1013"/>
      <c r="H22" s="1014">
        <f t="shared" si="0"/>
        <v>0</v>
      </c>
      <c r="I22" s="1014"/>
      <c r="J22" s="464">
        <f t="shared" si="1"/>
        <v>0</v>
      </c>
      <c r="L22" s="1024"/>
      <c r="M22" s="1024"/>
      <c r="N22" s="1024"/>
      <c r="O22" s="1024"/>
      <c r="P22" s="454"/>
      <c r="Q22" s="454"/>
      <c r="R22" s="454"/>
      <c r="S22" s="454"/>
      <c r="T22" s="454"/>
    </row>
    <row r="23" spans="1:20" ht="15.75" customHeight="1" x14ac:dyDescent="0.25">
      <c r="A23" s="1008">
        <v>2026</v>
      </c>
      <c r="B23" s="1008"/>
      <c r="C23" s="1008"/>
      <c r="D23" s="1013"/>
      <c r="E23" s="1013"/>
      <c r="F23" s="1013"/>
      <c r="G23" s="1013"/>
      <c r="H23" s="1014">
        <f t="shared" si="0"/>
        <v>0</v>
      </c>
      <c r="I23" s="1014"/>
      <c r="J23" s="464">
        <f t="shared" si="1"/>
        <v>0</v>
      </c>
      <c r="L23" s="1024"/>
      <c r="M23" s="1024"/>
      <c r="N23" s="1024"/>
      <c r="O23" s="1024"/>
      <c r="P23" s="454"/>
      <c r="Q23" s="454"/>
      <c r="R23" s="454"/>
      <c r="S23" s="454"/>
      <c r="T23" s="454"/>
    </row>
    <row r="24" spans="1:20" ht="15.75" customHeight="1" x14ac:dyDescent="0.25">
      <c r="A24" s="1008">
        <v>2027</v>
      </c>
      <c r="B24" s="1008"/>
      <c r="C24" s="1008"/>
      <c r="D24" s="1013"/>
      <c r="E24" s="1013"/>
      <c r="F24" s="1013"/>
      <c r="G24" s="1013"/>
      <c r="H24" s="1014">
        <f t="shared" si="0"/>
        <v>0</v>
      </c>
      <c r="I24" s="1014"/>
      <c r="J24" s="464">
        <f t="shared" si="1"/>
        <v>0</v>
      </c>
      <c r="L24" s="1024"/>
      <c r="M24" s="1024"/>
      <c r="N24" s="1024"/>
      <c r="O24" s="1024"/>
      <c r="P24" s="454"/>
      <c r="Q24" s="454"/>
      <c r="R24" s="454"/>
      <c r="S24" s="454"/>
      <c r="T24" s="454"/>
    </row>
    <row r="25" spans="1:20" ht="15.75" customHeight="1" x14ac:dyDescent="0.25">
      <c r="A25" s="1008">
        <v>2028</v>
      </c>
      <c r="B25" s="1008"/>
      <c r="C25" s="1008"/>
      <c r="D25" s="1013"/>
      <c r="E25" s="1013"/>
      <c r="F25" s="1013"/>
      <c r="G25" s="1013"/>
      <c r="H25" s="1014">
        <f t="shared" si="0"/>
        <v>0</v>
      </c>
      <c r="I25" s="1014"/>
      <c r="J25" s="464">
        <f t="shared" si="1"/>
        <v>0</v>
      </c>
      <c r="L25" s="1024"/>
      <c r="M25" s="1024"/>
      <c r="N25" s="1024"/>
      <c r="O25" s="1024"/>
      <c r="P25" s="454"/>
      <c r="Q25" s="454"/>
      <c r="R25" s="454"/>
      <c r="S25" s="454"/>
      <c r="T25" s="454"/>
    </row>
    <row r="26" spans="1:20" ht="15.75" customHeight="1" x14ac:dyDescent="0.25">
      <c r="A26" s="1008">
        <v>2029</v>
      </c>
      <c r="B26" s="1008"/>
      <c r="C26" s="1008"/>
      <c r="D26" s="1013"/>
      <c r="E26" s="1013"/>
      <c r="F26" s="1013"/>
      <c r="G26" s="1013"/>
      <c r="H26" s="1014">
        <f t="shared" si="0"/>
        <v>0</v>
      </c>
      <c r="I26" s="1014"/>
      <c r="J26" s="464">
        <f t="shared" si="1"/>
        <v>0</v>
      </c>
      <c r="L26" s="1024"/>
      <c r="M26" s="1024"/>
      <c r="N26" s="1024"/>
      <c r="O26" s="1024"/>
      <c r="P26" s="454"/>
      <c r="Q26" s="454"/>
      <c r="R26" s="454"/>
      <c r="S26" s="454"/>
      <c r="T26" s="454"/>
    </row>
    <row r="27" spans="1:20" ht="15.75" customHeight="1" x14ac:dyDescent="0.25">
      <c r="A27" s="1008">
        <v>2030</v>
      </c>
      <c r="B27" s="1008"/>
      <c r="C27" s="1008"/>
      <c r="D27" s="1013"/>
      <c r="E27" s="1013"/>
      <c r="F27" s="1013"/>
      <c r="G27" s="1013"/>
      <c r="H27" s="1014">
        <f t="shared" si="0"/>
        <v>0</v>
      </c>
      <c r="I27" s="1014"/>
      <c r="J27" s="464">
        <f t="shared" si="1"/>
        <v>0</v>
      </c>
      <c r="L27" s="1024"/>
      <c r="M27" s="1024"/>
      <c r="N27" s="1024"/>
      <c r="O27" s="1024"/>
      <c r="P27" s="454"/>
      <c r="Q27" s="454"/>
      <c r="R27" s="454"/>
      <c r="S27" s="454"/>
      <c r="T27" s="454"/>
    </row>
    <row r="28" spans="1:20" ht="15.75" customHeight="1" x14ac:dyDescent="0.25">
      <c r="A28" s="1008">
        <v>2031</v>
      </c>
      <c r="B28" s="1008"/>
      <c r="C28" s="1008"/>
      <c r="D28" s="1013"/>
      <c r="E28" s="1013"/>
      <c r="F28" s="1013"/>
      <c r="G28" s="1013"/>
      <c r="H28" s="1014">
        <f t="shared" si="0"/>
        <v>0</v>
      </c>
      <c r="I28" s="1014"/>
      <c r="J28" s="464">
        <f t="shared" si="1"/>
        <v>0</v>
      </c>
      <c r="L28" s="1024"/>
      <c r="M28" s="1024"/>
      <c r="N28" s="1024"/>
      <c r="O28" s="1024"/>
      <c r="P28" s="454"/>
      <c r="Q28" s="454"/>
      <c r="R28" s="454"/>
      <c r="S28" s="454"/>
      <c r="T28" s="454"/>
    </row>
    <row r="29" spans="1:20" ht="15.75" customHeight="1" x14ac:dyDescent="0.25">
      <c r="A29" s="1008">
        <v>2032</v>
      </c>
      <c r="B29" s="1008"/>
      <c r="C29" s="1008"/>
      <c r="D29" s="1013"/>
      <c r="E29" s="1013"/>
      <c r="F29" s="1013"/>
      <c r="G29" s="1013"/>
      <c r="H29" s="1014">
        <f t="shared" si="0"/>
        <v>0</v>
      </c>
      <c r="I29" s="1014"/>
      <c r="J29" s="464">
        <f t="shared" si="1"/>
        <v>0</v>
      </c>
      <c r="L29" s="1024"/>
      <c r="M29" s="1024"/>
      <c r="N29" s="1024"/>
      <c r="O29" s="1024"/>
      <c r="P29" s="454"/>
      <c r="Q29" s="454"/>
      <c r="R29" s="454"/>
      <c r="S29" s="454"/>
      <c r="T29" s="454"/>
    </row>
    <row r="30" spans="1:20" ht="15.75" customHeight="1" x14ac:dyDescent="0.25">
      <c r="A30" s="1008">
        <v>2033</v>
      </c>
      <c r="B30" s="1008"/>
      <c r="C30" s="1008"/>
      <c r="D30" s="1013"/>
      <c r="E30" s="1013"/>
      <c r="F30" s="1013"/>
      <c r="G30" s="1013"/>
      <c r="H30" s="1014">
        <f t="shared" si="0"/>
        <v>0</v>
      </c>
      <c r="I30" s="1014"/>
      <c r="J30" s="464">
        <f t="shared" si="1"/>
        <v>0</v>
      </c>
      <c r="L30" s="1024"/>
      <c r="M30" s="1024"/>
      <c r="N30" s="1024"/>
      <c r="O30" s="1024"/>
      <c r="P30" s="454"/>
      <c r="Q30" s="454"/>
      <c r="R30" s="454"/>
      <c r="S30" s="454"/>
      <c r="T30" s="454"/>
    </row>
    <row r="31" spans="1:20" ht="15.75" customHeight="1" x14ac:dyDescent="0.25">
      <c r="A31" s="1008">
        <v>2034</v>
      </c>
      <c r="B31" s="1008"/>
      <c r="C31" s="1008"/>
      <c r="D31" s="1013"/>
      <c r="E31" s="1013"/>
      <c r="F31" s="1013"/>
      <c r="G31" s="1013"/>
      <c r="H31" s="1014">
        <f t="shared" si="0"/>
        <v>0</v>
      </c>
      <c r="I31" s="1014"/>
      <c r="J31" s="464">
        <f t="shared" si="1"/>
        <v>0</v>
      </c>
      <c r="L31" s="1024"/>
      <c r="M31" s="1024"/>
      <c r="N31" s="1024"/>
      <c r="O31" s="1024"/>
      <c r="P31" s="454"/>
      <c r="Q31" s="454"/>
      <c r="R31" s="454"/>
      <c r="S31" s="454"/>
      <c r="T31" s="454"/>
    </row>
    <row r="32" spans="1:20" ht="15.75" customHeight="1" x14ac:dyDescent="0.25">
      <c r="A32" s="1008">
        <v>2035</v>
      </c>
      <c r="B32" s="1008"/>
      <c r="C32" s="1008"/>
      <c r="D32" s="1013"/>
      <c r="E32" s="1013"/>
      <c r="F32" s="1013"/>
      <c r="G32" s="1013"/>
      <c r="H32" s="1014">
        <f t="shared" si="0"/>
        <v>0</v>
      </c>
      <c r="I32" s="1014"/>
      <c r="J32" s="464">
        <f t="shared" si="1"/>
        <v>0</v>
      </c>
      <c r="L32" s="1024"/>
      <c r="M32" s="1024"/>
      <c r="N32" s="1024"/>
      <c r="O32" s="1024"/>
      <c r="P32" s="454"/>
      <c r="Q32" s="454"/>
      <c r="R32" s="454"/>
      <c r="S32" s="454"/>
      <c r="T32" s="454"/>
    </row>
    <row r="33" spans="1:20" ht="15.75" customHeight="1" x14ac:dyDescent="0.25">
      <c r="A33" s="1008">
        <v>2036</v>
      </c>
      <c r="B33" s="1008"/>
      <c r="C33" s="1008"/>
      <c r="D33" s="1013"/>
      <c r="E33" s="1013"/>
      <c r="F33" s="1013"/>
      <c r="G33" s="1013"/>
      <c r="H33" s="1014">
        <f t="shared" si="0"/>
        <v>0</v>
      </c>
      <c r="I33" s="1014"/>
      <c r="J33" s="464">
        <f t="shared" si="1"/>
        <v>0</v>
      </c>
      <c r="L33" s="1024"/>
      <c r="M33" s="1024"/>
      <c r="N33" s="1024"/>
      <c r="O33" s="1024"/>
      <c r="P33" s="454"/>
      <c r="Q33" s="454"/>
      <c r="R33" s="454"/>
      <c r="S33" s="454"/>
      <c r="T33" s="454"/>
    </row>
    <row r="34" spans="1:20" ht="15.75" customHeight="1" x14ac:dyDescent="0.25">
      <c r="A34" s="1008">
        <v>2037</v>
      </c>
      <c r="B34" s="1008"/>
      <c r="C34" s="1008"/>
      <c r="D34" s="1013"/>
      <c r="E34" s="1013"/>
      <c r="F34" s="1013"/>
      <c r="G34" s="1013"/>
      <c r="H34" s="1014">
        <f t="shared" si="0"/>
        <v>0</v>
      </c>
      <c r="I34" s="1014"/>
      <c r="J34" s="464">
        <f t="shared" si="1"/>
        <v>0</v>
      </c>
      <c r="L34" s="1024"/>
      <c r="M34" s="1024"/>
      <c r="N34" s="1024"/>
      <c r="O34" s="1024"/>
      <c r="P34" s="454"/>
      <c r="Q34" s="454"/>
      <c r="R34" s="454"/>
      <c r="S34" s="454"/>
      <c r="T34" s="454"/>
    </row>
    <row r="35" spans="1:20" ht="15.75" customHeight="1" x14ac:dyDescent="0.25">
      <c r="A35" s="1008">
        <v>2038</v>
      </c>
      <c r="B35" s="1008"/>
      <c r="C35" s="1008"/>
      <c r="D35" s="1013"/>
      <c r="E35" s="1013"/>
      <c r="F35" s="1013"/>
      <c r="G35" s="1013"/>
      <c r="H35" s="1014">
        <f t="shared" si="0"/>
        <v>0</v>
      </c>
      <c r="I35" s="1014"/>
      <c r="J35" s="464">
        <f t="shared" si="1"/>
        <v>0</v>
      </c>
      <c r="L35" s="1024"/>
      <c r="M35" s="1024"/>
      <c r="N35" s="1024"/>
      <c r="O35" s="1024"/>
      <c r="P35" s="454"/>
      <c r="Q35" s="454"/>
      <c r="R35" s="454"/>
      <c r="S35" s="454"/>
      <c r="T35" s="454"/>
    </row>
    <row r="36" spans="1:20" ht="15.75" customHeight="1" x14ac:dyDescent="0.25">
      <c r="A36" s="1008">
        <v>2039</v>
      </c>
      <c r="B36" s="1008"/>
      <c r="C36" s="1008"/>
      <c r="D36" s="1013"/>
      <c r="E36" s="1013"/>
      <c r="F36" s="1013"/>
      <c r="G36" s="1013"/>
      <c r="H36" s="1014">
        <f t="shared" si="0"/>
        <v>0</v>
      </c>
      <c r="I36" s="1014"/>
      <c r="J36" s="464">
        <f t="shared" si="1"/>
        <v>0</v>
      </c>
      <c r="L36" s="1024"/>
      <c r="M36" s="1024"/>
      <c r="N36" s="1024"/>
      <c r="O36" s="1024"/>
      <c r="P36" s="454"/>
      <c r="Q36" s="454"/>
      <c r="R36" s="454"/>
      <c r="S36" s="454"/>
      <c r="T36" s="454"/>
    </row>
    <row r="37" spans="1:20" ht="15.75" customHeight="1" x14ac:dyDescent="0.25">
      <c r="A37" s="1008">
        <v>2040</v>
      </c>
      <c r="B37" s="1008"/>
      <c r="C37" s="1008"/>
      <c r="D37" s="1013"/>
      <c r="E37" s="1013"/>
      <c r="F37" s="1013"/>
      <c r="G37" s="1013"/>
      <c r="H37" s="1014">
        <f t="shared" si="0"/>
        <v>0</v>
      </c>
      <c r="I37" s="1014"/>
      <c r="J37" s="464">
        <f t="shared" si="1"/>
        <v>0</v>
      </c>
      <c r="L37" s="1024"/>
      <c r="M37" s="1024"/>
      <c r="N37" s="1024"/>
      <c r="O37" s="1024"/>
      <c r="P37" s="454"/>
      <c r="Q37" s="454"/>
      <c r="R37" s="454"/>
      <c r="S37" s="454"/>
      <c r="T37" s="454"/>
    </row>
    <row r="38" spans="1:20" ht="15.75" customHeight="1" x14ac:dyDescent="0.25">
      <c r="A38" s="1008">
        <v>2041</v>
      </c>
      <c r="B38" s="1008"/>
      <c r="C38" s="1008"/>
      <c r="D38" s="1013"/>
      <c r="E38" s="1013"/>
      <c r="F38" s="1013"/>
      <c r="G38" s="1013"/>
      <c r="H38" s="1014">
        <f t="shared" si="0"/>
        <v>0</v>
      </c>
      <c r="I38" s="1014"/>
      <c r="J38" s="464">
        <f t="shared" si="1"/>
        <v>0</v>
      </c>
      <c r="L38" s="1024"/>
      <c r="M38" s="1024"/>
      <c r="N38" s="1024"/>
      <c r="O38" s="1024"/>
      <c r="P38" s="454"/>
      <c r="Q38" s="454"/>
      <c r="R38" s="454"/>
      <c r="S38" s="454"/>
      <c r="T38" s="454"/>
    </row>
    <row r="39" spans="1:20" ht="15.75" customHeight="1" x14ac:dyDescent="0.25">
      <c r="A39" s="1008">
        <v>2042</v>
      </c>
      <c r="B39" s="1008"/>
      <c r="C39" s="1008"/>
      <c r="D39" s="1013"/>
      <c r="E39" s="1013"/>
      <c r="F39" s="1013"/>
      <c r="G39" s="1013"/>
      <c r="H39" s="1014">
        <f t="shared" si="0"/>
        <v>0</v>
      </c>
      <c r="I39" s="1014"/>
      <c r="J39" s="464">
        <f t="shared" si="1"/>
        <v>0</v>
      </c>
      <c r="L39" s="1024"/>
      <c r="M39" s="1024"/>
      <c r="N39" s="1024"/>
      <c r="O39" s="1024"/>
      <c r="P39" s="454"/>
      <c r="Q39" s="454"/>
      <c r="R39" s="454"/>
      <c r="S39" s="454"/>
      <c r="T39" s="454"/>
    </row>
    <row r="40" spans="1:20" ht="15.75" customHeight="1" x14ac:dyDescent="0.25">
      <c r="A40" s="1008">
        <v>2043</v>
      </c>
      <c r="B40" s="1008"/>
      <c r="C40" s="1008"/>
      <c r="D40" s="1013"/>
      <c r="E40" s="1013"/>
      <c r="F40" s="1013"/>
      <c r="G40" s="1013"/>
      <c r="H40" s="1014">
        <f t="shared" si="0"/>
        <v>0</v>
      </c>
      <c r="I40" s="1014"/>
      <c r="J40" s="464">
        <f t="shared" si="1"/>
        <v>0</v>
      </c>
      <c r="L40" s="1024"/>
      <c r="M40" s="1024"/>
      <c r="N40" s="1024"/>
      <c r="O40" s="1024"/>
      <c r="P40" s="454"/>
      <c r="Q40" s="454"/>
      <c r="R40" s="454"/>
      <c r="S40" s="454"/>
      <c r="T40" s="454"/>
    </row>
    <row r="41" spans="1:20" ht="15.75" customHeight="1" x14ac:dyDescent="0.25">
      <c r="A41" s="1008">
        <v>2044</v>
      </c>
      <c r="B41" s="1008"/>
      <c r="C41" s="1008"/>
      <c r="D41" s="1013"/>
      <c r="E41" s="1013"/>
      <c r="F41" s="1013"/>
      <c r="G41" s="1013"/>
      <c r="H41" s="1014">
        <f t="shared" si="0"/>
        <v>0</v>
      </c>
      <c r="I41" s="1014"/>
      <c r="J41" s="464">
        <f t="shared" si="1"/>
        <v>0</v>
      </c>
      <c r="L41" s="1024"/>
      <c r="M41" s="1024"/>
      <c r="N41" s="1024"/>
      <c r="O41" s="1024"/>
      <c r="P41" s="454"/>
      <c r="Q41" s="454"/>
      <c r="R41" s="454"/>
      <c r="S41" s="454"/>
      <c r="T41" s="454"/>
    </row>
    <row r="42" spans="1:20" ht="15.75" customHeight="1" x14ac:dyDescent="0.25">
      <c r="A42" s="1008">
        <v>2045</v>
      </c>
      <c r="B42" s="1008"/>
      <c r="C42" s="1008"/>
      <c r="D42" s="1013"/>
      <c r="E42" s="1013"/>
      <c r="F42" s="1013"/>
      <c r="G42" s="1013"/>
      <c r="H42" s="1014">
        <f t="shared" si="0"/>
        <v>0</v>
      </c>
      <c r="I42" s="1014"/>
      <c r="J42" s="464">
        <f t="shared" si="1"/>
        <v>0</v>
      </c>
      <c r="L42" s="1024"/>
      <c r="M42" s="1024"/>
      <c r="N42" s="1024"/>
      <c r="O42" s="1024"/>
      <c r="P42" s="454"/>
      <c r="Q42" s="454"/>
      <c r="R42" s="454"/>
      <c r="S42" s="454"/>
      <c r="T42" s="454"/>
    </row>
    <row r="43" spans="1:20" ht="15.75" customHeight="1" x14ac:dyDescent="0.25">
      <c r="A43" s="1008">
        <v>2046</v>
      </c>
      <c r="B43" s="1008"/>
      <c r="C43" s="1008"/>
      <c r="D43" s="1013"/>
      <c r="E43" s="1013"/>
      <c r="F43" s="1013"/>
      <c r="G43" s="1013"/>
      <c r="H43" s="1014">
        <f t="shared" si="0"/>
        <v>0</v>
      </c>
      <c r="I43" s="1014"/>
      <c r="J43" s="464">
        <f t="shared" si="1"/>
        <v>0</v>
      </c>
      <c r="L43" s="1024"/>
      <c r="M43" s="1024"/>
      <c r="N43" s="1024"/>
      <c r="O43" s="1024"/>
      <c r="P43" s="454"/>
      <c r="Q43" s="454"/>
      <c r="R43" s="454"/>
      <c r="S43" s="454"/>
      <c r="T43" s="454"/>
    </row>
    <row r="44" spans="1:20" ht="15.75" customHeight="1" x14ac:dyDescent="0.25">
      <c r="A44" s="1008">
        <v>2047</v>
      </c>
      <c r="B44" s="1008"/>
      <c r="C44" s="1008"/>
      <c r="D44" s="1013"/>
      <c r="E44" s="1013"/>
      <c r="F44" s="1013"/>
      <c r="G44" s="1013"/>
      <c r="H44" s="1014">
        <f t="shared" si="0"/>
        <v>0</v>
      </c>
      <c r="I44" s="1014"/>
      <c r="J44" s="464">
        <f t="shared" si="1"/>
        <v>0</v>
      </c>
      <c r="L44" s="1024"/>
      <c r="M44" s="1024"/>
      <c r="N44" s="1024"/>
      <c r="O44" s="1024"/>
      <c r="P44" s="454"/>
      <c r="Q44" s="454"/>
      <c r="R44" s="454"/>
      <c r="S44" s="454"/>
      <c r="T44" s="454"/>
    </row>
    <row r="45" spans="1:20" ht="15.75" customHeight="1" x14ac:dyDescent="0.25">
      <c r="A45" s="1008">
        <v>2048</v>
      </c>
      <c r="B45" s="1008"/>
      <c r="C45" s="1008"/>
      <c r="D45" s="1013"/>
      <c r="E45" s="1013"/>
      <c r="F45" s="1013"/>
      <c r="G45" s="1013"/>
      <c r="H45" s="1014">
        <f t="shared" si="0"/>
        <v>0</v>
      </c>
      <c r="I45" s="1014"/>
      <c r="J45" s="464">
        <f t="shared" si="1"/>
        <v>0</v>
      </c>
      <c r="L45" s="1024"/>
      <c r="M45" s="1024"/>
      <c r="N45" s="1024"/>
      <c r="O45" s="1024"/>
      <c r="P45" s="454"/>
      <c r="Q45" s="454"/>
      <c r="R45" s="454"/>
      <c r="S45" s="454"/>
      <c r="T45" s="454"/>
    </row>
    <row r="46" spans="1:20" ht="15.75" customHeight="1" x14ac:dyDescent="0.25">
      <c r="A46" s="1008">
        <v>2049</v>
      </c>
      <c r="B46" s="1008"/>
      <c r="C46" s="1008"/>
      <c r="D46" s="1013"/>
      <c r="E46" s="1013"/>
      <c r="F46" s="1013"/>
      <c r="G46" s="1013"/>
      <c r="H46" s="1014">
        <f t="shared" si="0"/>
        <v>0</v>
      </c>
      <c r="I46" s="1014"/>
      <c r="J46" s="464">
        <f t="shared" si="1"/>
        <v>0</v>
      </c>
      <c r="L46" s="1024"/>
      <c r="M46" s="1024"/>
      <c r="N46" s="1024"/>
      <c r="O46" s="1024"/>
      <c r="P46" s="454"/>
      <c r="Q46" s="454"/>
      <c r="R46" s="454"/>
      <c r="S46" s="454"/>
      <c r="T46" s="454"/>
    </row>
    <row r="47" spans="1:20" ht="15.75" customHeight="1" x14ac:dyDescent="0.25">
      <c r="A47" s="1008">
        <v>2050</v>
      </c>
      <c r="B47" s="1008"/>
      <c r="C47" s="1008"/>
      <c r="D47" s="1013"/>
      <c r="E47" s="1013"/>
      <c r="F47" s="1013"/>
      <c r="G47" s="1013"/>
      <c r="H47" s="1014">
        <f t="shared" si="0"/>
        <v>0</v>
      </c>
      <c r="I47" s="1014"/>
      <c r="J47" s="464">
        <f t="shared" si="1"/>
        <v>0</v>
      </c>
      <c r="L47" s="1024"/>
      <c r="M47" s="1024"/>
      <c r="N47" s="1024"/>
      <c r="O47" s="1024"/>
      <c r="P47" s="454"/>
      <c r="Q47" s="454"/>
      <c r="R47" s="454"/>
      <c r="S47" s="454"/>
      <c r="T47" s="454"/>
    </row>
    <row r="48" spans="1:20" ht="15.75" customHeight="1" x14ac:dyDescent="0.25">
      <c r="A48" s="1008">
        <v>2051</v>
      </c>
      <c r="B48" s="1008"/>
      <c r="C48" s="1008"/>
      <c r="D48" s="1013"/>
      <c r="E48" s="1013"/>
      <c r="F48" s="1013"/>
      <c r="G48" s="1013"/>
      <c r="H48" s="1014">
        <f t="shared" si="0"/>
        <v>0</v>
      </c>
      <c r="I48" s="1014"/>
      <c r="J48" s="464">
        <f t="shared" si="1"/>
        <v>0</v>
      </c>
      <c r="L48" s="1024"/>
      <c r="M48" s="1024"/>
      <c r="N48" s="1024"/>
      <c r="O48" s="1024"/>
      <c r="P48" s="454"/>
      <c r="Q48" s="454"/>
      <c r="R48" s="454"/>
      <c r="S48" s="454"/>
      <c r="T48" s="454"/>
    </row>
    <row r="49" spans="1:20" ht="15.75" customHeight="1" x14ac:dyDescent="0.25">
      <c r="A49" s="1008">
        <v>2052</v>
      </c>
      <c r="B49" s="1008"/>
      <c r="C49" s="1008"/>
      <c r="D49" s="1013"/>
      <c r="E49" s="1013"/>
      <c r="F49" s="1013"/>
      <c r="G49" s="1013"/>
      <c r="H49" s="1014">
        <f t="shared" si="0"/>
        <v>0</v>
      </c>
      <c r="I49" s="1014"/>
      <c r="J49" s="464">
        <f t="shared" si="1"/>
        <v>0</v>
      </c>
      <c r="L49" s="1024"/>
      <c r="M49" s="1024"/>
      <c r="N49" s="1024"/>
      <c r="O49" s="1024"/>
      <c r="P49" s="454"/>
      <c r="Q49" s="454"/>
      <c r="R49" s="454"/>
      <c r="S49" s="454"/>
      <c r="T49" s="454"/>
    </row>
    <row r="50" spans="1:20" ht="15.75" customHeight="1" x14ac:dyDescent="0.25">
      <c r="A50" s="1008">
        <v>2053</v>
      </c>
      <c r="B50" s="1008"/>
      <c r="C50" s="1008"/>
      <c r="D50" s="1013"/>
      <c r="E50" s="1013"/>
      <c r="F50" s="1013"/>
      <c r="G50" s="1013"/>
      <c r="H50" s="1014">
        <f t="shared" si="0"/>
        <v>0</v>
      </c>
      <c r="I50" s="1014"/>
      <c r="J50" s="464">
        <f t="shared" si="1"/>
        <v>0</v>
      </c>
      <c r="L50" s="1024"/>
      <c r="M50" s="1024"/>
      <c r="N50" s="1024"/>
      <c r="O50" s="1024"/>
      <c r="P50" s="454"/>
      <c r="Q50" s="454"/>
      <c r="R50" s="454"/>
      <c r="S50" s="454"/>
      <c r="T50" s="454"/>
    </row>
    <row r="51" spans="1:20" ht="15.75" customHeight="1" x14ac:dyDescent="0.25">
      <c r="A51" s="1008">
        <v>2054</v>
      </c>
      <c r="B51" s="1008"/>
      <c r="C51" s="1008"/>
      <c r="D51" s="1013"/>
      <c r="E51" s="1013"/>
      <c r="F51" s="1013"/>
      <c r="G51" s="1013"/>
      <c r="H51" s="1014">
        <f t="shared" si="0"/>
        <v>0</v>
      </c>
      <c r="I51" s="1014"/>
      <c r="J51" s="464">
        <f t="shared" si="1"/>
        <v>0</v>
      </c>
      <c r="L51" s="1024"/>
      <c r="M51" s="1024"/>
      <c r="N51" s="1024"/>
      <c r="O51" s="1024"/>
      <c r="P51" s="454"/>
      <c r="Q51" s="454"/>
      <c r="R51" s="454"/>
      <c r="S51" s="454"/>
      <c r="T51" s="454"/>
    </row>
    <row r="52" spans="1:20" ht="15.75" customHeight="1" x14ac:dyDescent="0.25">
      <c r="A52" s="1008">
        <v>2055</v>
      </c>
      <c r="B52" s="1008"/>
      <c r="C52" s="1008"/>
      <c r="D52" s="1013"/>
      <c r="E52" s="1013"/>
      <c r="F52" s="1013"/>
      <c r="G52" s="1013"/>
      <c r="H52" s="1014">
        <f t="shared" si="0"/>
        <v>0</v>
      </c>
      <c r="I52" s="1014"/>
      <c r="J52" s="464">
        <f t="shared" si="1"/>
        <v>0</v>
      </c>
      <c r="L52" s="1024"/>
      <c r="M52" s="1024"/>
      <c r="N52" s="1024"/>
      <c r="O52" s="1024"/>
      <c r="P52" s="454"/>
      <c r="Q52" s="454"/>
      <c r="R52" s="454"/>
      <c r="S52" s="454"/>
      <c r="T52" s="454"/>
    </row>
    <row r="53" spans="1:20" ht="15.75" customHeight="1" x14ac:dyDescent="0.25">
      <c r="A53" s="1008">
        <v>2056</v>
      </c>
      <c r="B53" s="1008"/>
      <c r="C53" s="1008"/>
      <c r="D53" s="1013"/>
      <c r="E53" s="1013"/>
      <c r="F53" s="1013"/>
      <c r="G53" s="1013"/>
      <c r="H53" s="1014">
        <f t="shared" si="0"/>
        <v>0</v>
      </c>
      <c r="I53" s="1014"/>
      <c r="J53" s="464">
        <f t="shared" si="1"/>
        <v>0</v>
      </c>
      <c r="L53" s="1024"/>
      <c r="M53" s="1024"/>
      <c r="N53" s="1024"/>
      <c r="O53" s="1024"/>
      <c r="P53" s="454"/>
      <c r="Q53" s="454"/>
      <c r="R53" s="454"/>
      <c r="S53" s="454"/>
      <c r="T53" s="454"/>
    </row>
    <row r="54" spans="1:20" ht="15.75" customHeight="1" x14ac:dyDescent="0.25">
      <c r="A54" s="1008">
        <v>2057</v>
      </c>
      <c r="B54" s="1008"/>
      <c r="C54" s="1008"/>
      <c r="D54" s="1013"/>
      <c r="E54" s="1013"/>
      <c r="F54" s="1013"/>
      <c r="G54" s="1013"/>
      <c r="H54" s="1014">
        <f t="shared" si="0"/>
        <v>0</v>
      </c>
      <c r="I54" s="1014"/>
      <c r="J54" s="464">
        <f t="shared" si="1"/>
        <v>0</v>
      </c>
      <c r="L54" s="1024"/>
      <c r="M54" s="1024"/>
      <c r="N54" s="1024"/>
      <c r="O54" s="1024"/>
      <c r="P54" s="454"/>
      <c r="Q54" s="454"/>
      <c r="R54" s="454"/>
      <c r="S54" s="454"/>
      <c r="T54" s="454"/>
    </row>
    <row r="55" spans="1:20" ht="15.75" customHeight="1" x14ac:dyDescent="0.25">
      <c r="A55" s="1008">
        <v>2058</v>
      </c>
      <c r="B55" s="1008"/>
      <c r="C55" s="1008"/>
      <c r="D55" s="1013"/>
      <c r="E55" s="1013"/>
      <c r="F55" s="1013"/>
      <c r="G55" s="1013"/>
      <c r="H55" s="1014">
        <f t="shared" si="0"/>
        <v>0</v>
      </c>
      <c r="I55" s="1014"/>
      <c r="J55" s="464">
        <f t="shared" si="1"/>
        <v>0</v>
      </c>
      <c r="L55" s="1024"/>
      <c r="M55" s="1024"/>
      <c r="N55" s="1024"/>
      <c r="O55" s="1024"/>
      <c r="P55" s="454"/>
      <c r="Q55" s="454"/>
      <c r="R55" s="454"/>
      <c r="S55" s="454"/>
      <c r="T55" s="454"/>
    </row>
    <row r="56" spans="1:20" ht="15.75" customHeight="1" x14ac:dyDescent="0.25">
      <c r="A56" s="1008">
        <v>2059</v>
      </c>
      <c r="B56" s="1008"/>
      <c r="C56" s="1008"/>
      <c r="D56" s="1013"/>
      <c r="E56" s="1013"/>
      <c r="F56" s="1013"/>
      <c r="G56" s="1013"/>
      <c r="H56" s="1014">
        <f t="shared" si="0"/>
        <v>0</v>
      </c>
      <c r="I56" s="1014"/>
      <c r="J56" s="464">
        <f t="shared" si="1"/>
        <v>0</v>
      </c>
      <c r="L56" s="1024"/>
      <c r="M56" s="1024"/>
      <c r="N56" s="1024"/>
      <c r="O56" s="1024"/>
      <c r="P56" s="454"/>
      <c r="Q56" s="454"/>
      <c r="R56" s="454"/>
      <c r="S56" s="454"/>
      <c r="T56" s="454"/>
    </row>
    <row r="57" spans="1:20" ht="15.75" customHeight="1" x14ac:dyDescent="0.25">
      <c r="A57" s="1008">
        <v>2060</v>
      </c>
      <c r="B57" s="1008"/>
      <c r="C57" s="1008"/>
      <c r="D57" s="1013"/>
      <c r="E57" s="1013"/>
      <c r="F57" s="1013"/>
      <c r="G57" s="1013"/>
      <c r="H57" s="1014">
        <f t="shared" si="0"/>
        <v>0</v>
      </c>
      <c r="I57" s="1014"/>
      <c r="J57" s="464">
        <f t="shared" si="1"/>
        <v>0</v>
      </c>
      <c r="L57" s="1024"/>
      <c r="M57" s="1024"/>
      <c r="N57" s="1024"/>
      <c r="O57" s="1024"/>
      <c r="P57" s="454"/>
      <c r="Q57" s="454"/>
      <c r="R57" s="454"/>
      <c r="S57" s="454"/>
      <c r="T57" s="454"/>
    </row>
    <row r="58" spans="1:20" ht="15.75" customHeight="1" x14ac:dyDescent="0.25">
      <c r="A58" s="1008">
        <v>2061</v>
      </c>
      <c r="B58" s="1008"/>
      <c r="C58" s="1008"/>
      <c r="D58" s="1013"/>
      <c r="E58" s="1013"/>
      <c r="F58" s="1013"/>
      <c r="G58" s="1013"/>
      <c r="H58" s="1014">
        <f t="shared" si="0"/>
        <v>0</v>
      </c>
      <c r="I58" s="1014"/>
      <c r="J58" s="464">
        <f t="shared" si="1"/>
        <v>0</v>
      </c>
      <c r="L58" s="1024"/>
      <c r="M58" s="1024"/>
      <c r="N58" s="1024"/>
      <c r="O58" s="1024"/>
      <c r="P58" s="454"/>
      <c r="Q58" s="454"/>
      <c r="R58" s="454"/>
      <c r="S58" s="454"/>
      <c r="T58" s="454"/>
    </row>
    <row r="59" spans="1:20" ht="15.75" customHeight="1" x14ac:dyDescent="0.25">
      <c r="A59" s="1008">
        <v>2062</v>
      </c>
      <c r="B59" s="1008"/>
      <c r="C59" s="1008"/>
      <c r="D59" s="1013"/>
      <c r="E59" s="1013"/>
      <c r="F59" s="1013"/>
      <c r="G59" s="1013"/>
      <c r="H59" s="1014">
        <f t="shared" si="0"/>
        <v>0</v>
      </c>
      <c r="I59" s="1014"/>
      <c r="J59" s="464">
        <f t="shared" si="1"/>
        <v>0</v>
      </c>
      <c r="L59" s="1024"/>
      <c r="M59" s="1024"/>
      <c r="N59" s="1024"/>
      <c r="O59" s="1024"/>
      <c r="P59" s="454"/>
      <c r="Q59" s="454"/>
      <c r="R59" s="454"/>
      <c r="S59" s="454"/>
      <c r="T59" s="454"/>
    </row>
    <row r="60" spans="1:20" ht="15.75" customHeight="1" x14ac:dyDescent="0.25">
      <c r="A60" s="1008">
        <v>2063</v>
      </c>
      <c r="B60" s="1008"/>
      <c r="C60" s="1008"/>
      <c r="D60" s="1013"/>
      <c r="E60" s="1013"/>
      <c r="F60" s="1013"/>
      <c r="G60" s="1013"/>
      <c r="H60" s="1014">
        <f t="shared" si="0"/>
        <v>0</v>
      </c>
      <c r="I60" s="1014"/>
      <c r="J60" s="464">
        <f t="shared" si="1"/>
        <v>0</v>
      </c>
      <c r="L60" s="1024"/>
      <c r="M60" s="1024"/>
      <c r="N60" s="1024"/>
      <c r="O60" s="1024"/>
      <c r="P60" s="454"/>
      <c r="Q60" s="454"/>
      <c r="R60" s="454"/>
      <c r="S60" s="454"/>
      <c r="T60" s="454"/>
    </row>
    <row r="61" spans="1:20" ht="15.75" customHeight="1" x14ac:dyDescent="0.25">
      <c r="A61" s="1008">
        <v>2064</v>
      </c>
      <c r="B61" s="1008"/>
      <c r="C61" s="1008"/>
      <c r="D61" s="1013"/>
      <c r="E61" s="1013"/>
      <c r="F61" s="1013"/>
      <c r="G61" s="1013"/>
      <c r="H61" s="1014">
        <f t="shared" si="0"/>
        <v>0</v>
      </c>
      <c r="I61" s="1014"/>
      <c r="J61" s="464">
        <f t="shared" si="1"/>
        <v>0</v>
      </c>
      <c r="L61" s="1024"/>
      <c r="M61" s="1024"/>
      <c r="N61" s="1024"/>
      <c r="O61" s="1024"/>
      <c r="P61" s="454"/>
      <c r="Q61" s="454"/>
      <c r="R61" s="454"/>
      <c r="S61" s="454"/>
      <c r="T61" s="454"/>
    </row>
    <row r="62" spans="1:20" ht="15.75" customHeight="1" x14ac:dyDescent="0.25">
      <c r="A62" s="1008">
        <v>2065</v>
      </c>
      <c r="B62" s="1008"/>
      <c r="C62" s="1008"/>
      <c r="D62" s="1013"/>
      <c r="E62" s="1013"/>
      <c r="F62" s="1013"/>
      <c r="G62" s="1013"/>
      <c r="H62" s="1014">
        <f t="shared" si="0"/>
        <v>0</v>
      </c>
      <c r="I62" s="1014"/>
      <c r="J62" s="464">
        <f t="shared" si="1"/>
        <v>0</v>
      </c>
      <c r="L62" s="1024"/>
      <c r="M62" s="1024"/>
      <c r="N62" s="1024"/>
      <c r="O62" s="1024"/>
      <c r="P62" s="454"/>
      <c r="Q62" s="454"/>
      <c r="R62" s="454"/>
      <c r="S62" s="454"/>
      <c r="T62" s="454"/>
    </row>
    <row r="63" spans="1:20" ht="15.75" customHeight="1" x14ac:dyDescent="0.25">
      <c r="A63" s="1008">
        <v>2066</v>
      </c>
      <c r="B63" s="1008"/>
      <c r="C63" s="1008"/>
      <c r="D63" s="1013"/>
      <c r="E63" s="1013"/>
      <c r="F63" s="1013"/>
      <c r="G63" s="1013"/>
      <c r="H63" s="1014">
        <f t="shared" si="0"/>
        <v>0</v>
      </c>
      <c r="I63" s="1014"/>
      <c r="J63" s="464">
        <f t="shared" si="1"/>
        <v>0</v>
      </c>
      <c r="L63" s="1024"/>
      <c r="M63" s="1024"/>
      <c r="N63" s="1024"/>
      <c r="O63" s="1024"/>
      <c r="P63" s="454"/>
      <c r="Q63" s="454"/>
      <c r="R63" s="454"/>
      <c r="S63" s="454"/>
      <c r="T63" s="454"/>
    </row>
    <row r="64" spans="1:20" ht="15.75" customHeight="1" x14ac:dyDescent="0.25">
      <c r="A64" s="1008">
        <v>2067</v>
      </c>
      <c r="B64" s="1008"/>
      <c r="C64" s="1008"/>
      <c r="D64" s="1013"/>
      <c r="E64" s="1013"/>
      <c r="F64" s="1013"/>
      <c r="G64" s="1013"/>
      <c r="H64" s="1014">
        <f t="shared" si="0"/>
        <v>0</v>
      </c>
      <c r="I64" s="1014"/>
      <c r="J64" s="464">
        <f t="shared" si="1"/>
        <v>0</v>
      </c>
      <c r="L64" s="1024"/>
      <c r="M64" s="1024"/>
      <c r="N64" s="1024"/>
      <c r="O64" s="1024"/>
      <c r="P64" s="454"/>
      <c r="Q64" s="454"/>
      <c r="R64" s="454"/>
      <c r="S64" s="454"/>
      <c r="T64" s="454"/>
    </row>
    <row r="65" spans="1:20" ht="15.75" customHeight="1" x14ac:dyDescent="0.25">
      <c r="A65" s="1008">
        <v>2068</v>
      </c>
      <c r="B65" s="1008"/>
      <c r="C65" s="1008"/>
      <c r="D65" s="1013"/>
      <c r="E65" s="1013"/>
      <c r="F65" s="1013"/>
      <c r="G65" s="1013"/>
      <c r="H65" s="1014">
        <f t="shared" si="0"/>
        <v>0</v>
      </c>
      <c r="I65" s="1014"/>
      <c r="J65" s="464">
        <f t="shared" si="1"/>
        <v>0</v>
      </c>
      <c r="L65" s="1024"/>
      <c r="M65" s="1024"/>
      <c r="N65" s="1024"/>
      <c r="O65" s="1024"/>
      <c r="P65" s="454"/>
      <c r="Q65" s="454"/>
      <c r="R65" s="454"/>
      <c r="S65" s="454"/>
      <c r="T65" s="454"/>
    </row>
    <row r="66" spans="1:20" ht="15.75" customHeight="1" x14ac:dyDescent="0.25">
      <c r="A66" s="1008">
        <v>2069</v>
      </c>
      <c r="B66" s="1008"/>
      <c r="C66" s="1008"/>
      <c r="D66" s="1013"/>
      <c r="E66" s="1013"/>
      <c r="F66" s="1013"/>
      <c r="G66" s="1013"/>
      <c r="H66" s="1014">
        <f t="shared" si="0"/>
        <v>0</v>
      </c>
      <c r="I66" s="1014"/>
      <c r="J66" s="464">
        <f t="shared" si="1"/>
        <v>0</v>
      </c>
      <c r="L66" s="1024"/>
      <c r="M66" s="1024"/>
      <c r="N66" s="1024"/>
      <c r="O66" s="1024"/>
      <c r="P66" s="454"/>
      <c r="Q66" s="454"/>
      <c r="R66" s="454"/>
      <c r="S66" s="454"/>
      <c r="T66" s="454"/>
    </row>
    <row r="67" spans="1:20" ht="15.75" customHeight="1" x14ac:dyDescent="0.25">
      <c r="A67" s="1008">
        <v>2070</v>
      </c>
      <c r="B67" s="1008"/>
      <c r="C67" s="1008"/>
      <c r="D67" s="1013"/>
      <c r="E67" s="1013"/>
      <c r="F67" s="1013"/>
      <c r="G67" s="1013"/>
      <c r="H67" s="1014">
        <f t="shared" si="0"/>
        <v>0</v>
      </c>
      <c r="I67" s="1014"/>
      <c r="J67" s="464">
        <f t="shared" si="1"/>
        <v>0</v>
      </c>
      <c r="L67" s="1024"/>
      <c r="M67" s="1024"/>
      <c r="N67" s="1024"/>
      <c r="O67" s="1024"/>
      <c r="P67" s="454"/>
      <c r="Q67" s="454"/>
      <c r="R67" s="454"/>
      <c r="S67" s="454"/>
      <c r="T67" s="454"/>
    </row>
    <row r="68" spans="1:20" ht="15.75" customHeight="1" x14ac:dyDescent="0.25">
      <c r="A68" s="1008">
        <v>2071</v>
      </c>
      <c r="B68" s="1008"/>
      <c r="C68" s="1008"/>
      <c r="D68" s="1013"/>
      <c r="E68" s="1013"/>
      <c r="F68" s="1013"/>
      <c r="G68" s="1013"/>
      <c r="H68" s="1014">
        <f t="shared" si="0"/>
        <v>0</v>
      </c>
      <c r="I68" s="1014"/>
      <c r="J68" s="464">
        <f t="shared" si="1"/>
        <v>0</v>
      </c>
      <c r="L68" s="1024"/>
      <c r="M68" s="1024"/>
      <c r="N68" s="1024"/>
      <c r="O68" s="1024"/>
      <c r="P68" s="454"/>
      <c r="Q68" s="454"/>
      <c r="R68" s="454"/>
      <c r="S68" s="454"/>
      <c r="T68" s="454"/>
    </row>
    <row r="69" spans="1:20" ht="15.75" customHeight="1" x14ac:dyDescent="0.25">
      <c r="A69" s="1008">
        <v>2072</v>
      </c>
      <c r="B69" s="1008"/>
      <c r="C69" s="1008"/>
      <c r="D69" s="1013"/>
      <c r="E69" s="1013"/>
      <c r="F69" s="1013"/>
      <c r="G69" s="1013"/>
      <c r="H69" s="1014">
        <f t="shared" si="0"/>
        <v>0</v>
      </c>
      <c r="I69" s="1014"/>
      <c r="J69" s="464">
        <f t="shared" si="1"/>
        <v>0</v>
      </c>
      <c r="L69" s="1024"/>
      <c r="M69" s="1024"/>
      <c r="N69" s="1024"/>
      <c r="O69" s="1024"/>
      <c r="P69" s="454"/>
      <c r="Q69" s="454"/>
      <c r="R69" s="454"/>
      <c r="S69" s="454"/>
      <c r="T69" s="454"/>
    </row>
    <row r="70" spans="1:20" ht="15.75" customHeight="1" x14ac:dyDescent="0.25">
      <c r="A70" s="1008">
        <v>2073</v>
      </c>
      <c r="B70" s="1008"/>
      <c r="C70" s="1008"/>
      <c r="D70" s="1013"/>
      <c r="E70" s="1013"/>
      <c r="F70" s="1013"/>
      <c r="G70" s="1013"/>
      <c r="H70" s="1014">
        <f t="shared" si="0"/>
        <v>0</v>
      </c>
      <c r="I70" s="1014"/>
      <c r="J70" s="464">
        <f t="shared" si="1"/>
        <v>0</v>
      </c>
      <c r="L70" s="1024"/>
      <c r="M70" s="1024"/>
      <c r="N70" s="1024"/>
      <c r="O70" s="1024"/>
      <c r="P70" s="454"/>
      <c r="Q70" s="454"/>
      <c r="R70" s="454"/>
      <c r="S70" s="454"/>
      <c r="T70" s="454"/>
    </row>
    <row r="71" spans="1:20" ht="15.75" customHeight="1" x14ac:dyDescent="0.25">
      <c r="A71" s="1008">
        <v>2074</v>
      </c>
      <c r="B71" s="1008"/>
      <c r="C71" s="1008"/>
      <c r="D71" s="1013"/>
      <c r="E71" s="1013"/>
      <c r="F71" s="1013"/>
      <c r="G71" s="1013"/>
      <c r="H71" s="1014">
        <f t="shared" si="0"/>
        <v>0</v>
      </c>
      <c r="I71" s="1014"/>
      <c r="J71" s="464">
        <f t="shared" si="1"/>
        <v>0</v>
      </c>
      <c r="L71" s="1024"/>
      <c r="M71" s="1024"/>
      <c r="N71" s="1024"/>
      <c r="O71" s="1024"/>
      <c r="P71" s="454"/>
      <c r="Q71" s="454"/>
      <c r="R71" s="454"/>
      <c r="S71" s="454"/>
      <c r="T71" s="454"/>
    </row>
    <row r="72" spans="1:20" ht="15.75" customHeight="1" x14ac:dyDescent="0.25">
      <c r="A72" s="1008">
        <v>2075</v>
      </c>
      <c r="B72" s="1008"/>
      <c r="C72" s="1008"/>
      <c r="D72" s="1013"/>
      <c r="E72" s="1013"/>
      <c r="F72" s="1013"/>
      <c r="G72" s="1013"/>
      <c r="H72" s="1014">
        <f t="shared" si="0"/>
        <v>0</v>
      </c>
      <c r="I72" s="1014"/>
      <c r="J72" s="464">
        <f t="shared" si="1"/>
        <v>0</v>
      </c>
      <c r="L72" s="1024"/>
      <c r="M72" s="1024"/>
      <c r="N72" s="1024"/>
      <c r="O72" s="1024"/>
      <c r="P72" s="454"/>
      <c r="Q72" s="454"/>
      <c r="R72" s="454"/>
      <c r="S72" s="454"/>
      <c r="T72" s="454"/>
    </row>
    <row r="73" spans="1:20" ht="15.75" customHeight="1" x14ac:dyDescent="0.25">
      <c r="A73" s="1008">
        <v>2076</v>
      </c>
      <c r="B73" s="1008"/>
      <c r="C73" s="1008"/>
      <c r="D73" s="1013"/>
      <c r="E73" s="1013"/>
      <c r="F73" s="1013"/>
      <c r="G73" s="1013"/>
      <c r="H73" s="1014">
        <f t="shared" si="0"/>
        <v>0</v>
      </c>
      <c r="I73" s="1014"/>
      <c r="J73" s="464">
        <f t="shared" si="1"/>
        <v>0</v>
      </c>
      <c r="L73" s="1024"/>
      <c r="M73" s="1024"/>
      <c r="N73" s="1024"/>
      <c r="O73" s="1024"/>
      <c r="P73" s="454"/>
      <c r="Q73" s="454"/>
      <c r="R73" s="454"/>
      <c r="S73" s="454"/>
      <c r="T73" s="454"/>
    </row>
    <row r="74" spans="1:20" ht="15.75" customHeight="1" x14ac:dyDescent="0.25">
      <c r="A74" s="1008">
        <v>2077</v>
      </c>
      <c r="B74" s="1008"/>
      <c r="C74" s="1008"/>
      <c r="D74" s="1013"/>
      <c r="E74" s="1013"/>
      <c r="F74" s="1013"/>
      <c r="G74" s="1013"/>
      <c r="H74" s="1014">
        <f t="shared" si="0"/>
        <v>0</v>
      </c>
      <c r="I74" s="1014"/>
      <c r="J74" s="464">
        <f t="shared" si="1"/>
        <v>0</v>
      </c>
      <c r="L74" s="1024"/>
      <c r="M74" s="1024"/>
      <c r="N74" s="1024"/>
      <c r="O74" s="1024"/>
      <c r="P74" s="454"/>
      <c r="Q74" s="454"/>
      <c r="R74" s="454"/>
      <c r="S74" s="454"/>
      <c r="T74" s="454"/>
    </row>
    <row r="75" spans="1:20" ht="15.75" customHeight="1" x14ac:dyDescent="0.25">
      <c r="A75" s="1008">
        <v>2078</v>
      </c>
      <c r="B75" s="1008"/>
      <c r="C75" s="1008"/>
      <c r="D75" s="1013"/>
      <c r="E75" s="1013"/>
      <c r="F75" s="1013"/>
      <c r="G75" s="1013"/>
      <c r="H75" s="1014">
        <f t="shared" si="0"/>
        <v>0</v>
      </c>
      <c r="I75" s="1014"/>
      <c r="J75" s="464">
        <f t="shared" si="1"/>
        <v>0</v>
      </c>
      <c r="L75" s="1024"/>
      <c r="M75" s="1024"/>
      <c r="N75" s="1024"/>
      <c r="O75" s="1024"/>
      <c r="P75" s="454"/>
      <c r="Q75" s="454"/>
      <c r="R75" s="454"/>
      <c r="S75" s="454"/>
      <c r="T75" s="454"/>
    </row>
    <row r="76" spans="1:20" ht="15.75" customHeight="1" x14ac:dyDescent="0.25">
      <c r="A76" s="1008">
        <v>2079</v>
      </c>
      <c r="B76" s="1008"/>
      <c r="C76" s="1008"/>
      <c r="D76" s="1013"/>
      <c r="E76" s="1013"/>
      <c r="F76" s="1013"/>
      <c r="G76" s="1013"/>
      <c r="H76" s="1014">
        <f t="shared" si="0"/>
        <v>0</v>
      </c>
      <c r="I76" s="1014"/>
      <c r="J76" s="464">
        <f t="shared" si="1"/>
        <v>0</v>
      </c>
      <c r="L76" s="1024"/>
      <c r="M76" s="1024"/>
      <c r="N76" s="1024"/>
      <c r="O76" s="1024"/>
      <c r="P76" s="454"/>
      <c r="Q76" s="454"/>
      <c r="R76" s="454"/>
      <c r="S76" s="454"/>
      <c r="T76" s="454"/>
    </row>
    <row r="77" spans="1:20" ht="15.75" customHeight="1" x14ac:dyDescent="0.25">
      <c r="A77" s="1008">
        <v>2080</v>
      </c>
      <c r="B77" s="1008"/>
      <c r="C77" s="1008"/>
      <c r="D77" s="1013"/>
      <c r="E77" s="1013"/>
      <c r="F77" s="1013"/>
      <c r="G77" s="1013"/>
      <c r="H77" s="1014">
        <f t="shared" si="0"/>
        <v>0</v>
      </c>
      <c r="I77" s="1014"/>
      <c r="J77" s="464">
        <f t="shared" si="1"/>
        <v>0</v>
      </c>
      <c r="L77" s="1024"/>
      <c r="M77" s="1024"/>
      <c r="N77" s="1024"/>
      <c r="O77" s="1024"/>
      <c r="P77" s="454"/>
      <c r="Q77" s="454"/>
      <c r="R77" s="454"/>
      <c r="S77" s="454"/>
      <c r="T77" s="454"/>
    </row>
    <row r="78" spans="1:20" ht="15.75" customHeight="1" x14ac:dyDescent="0.25">
      <c r="A78" s="1008">
        <v>2081</v>
      </c>
      <c r="B78" s="1008"/>
      <c r="C78" s="1008"/>
      <c r="D78" s="1013"/>
      <c r="E78" s="1013"/>
      <c r="F78" s="1013"/>
      <c r="G78" s="1013"/>
      <c r="H78" s="1014">
        <f t="shared" si="0"/>
        <v>0</v>
      </c>
      <c r="I78" s="1014"/>
      <c r="J78" s="464">
        <f t="shared" si="1"/>
        <v>0</v>
      </c>
      <c r="L78" s="1024"/>
      <c r="M78" s="1024"/>
      <c r="N78" s="1024"/>
      <c r="O78" s="1024"/>
      <c r="P78" s="454"/>
      <c r="Q78" s="454"/>
      <c r="R78" s="454"/>
      <c r="S78" s="454"/>
      <c r="T78" s="454"/>
    </row>
    <row r="79" spans="1:20" ht="15.75" customHeight="1" x14ac:dyDescent="0.25">
      <c r="A79" s="1008">
        <v>2082</v>
      </c>
      <c r="B79" s="1008"/>
      <c r="C79" s="1008"/>
      <c r="D79" s="1013"/>
      <c r="E79" s="1013"/>
      <c r="F79" s="1013"/>
      <c r="G79" s="1013"/>
      <c r="H79" s="1014">
        <f t="shared" si="0"/>
        <v>0</v>
      </c>
      <c r="I79" s="1014"/>
      <c r="J79" s="464">
        <f t="shared" si="1"/>
        <v>0</v>
      </c>
      <c r="L79" s="1024"/>
      <c r="M79" s="1024"/>
      <c r="N79" s="1024"/>
      <c r="O79" s="1024"/>
      <c r="P79" s="454"/>
      <c r="Q79" s="454"/>
      <c r="R79" s="454"/>
      <c r="S79" s="454"/>
      <c r="T79" s="454"/>
    </row>
    <row r="80" spans="1:20" ht="15.75" customHeight="1" x14ac:dyDescent="0.25">
      <c r="A80" s="1008">
        <v>2083</v>
      </c>
      <c r="B80" s="1008"/>
      <c r="C80" s="1008"/>
      <c r="D80" s="1013"/>
      <c r="E80" s="1013"/>
      <c r="F80" s="1013"/>
      <c r="G80" s="1013"/>
      <c r="H80" s="1014">
        <f t="shared" si="0"/>
        <v>0</v>
      </c>
      <c r="I80" s="1014"/>
      <c r="J80" s="464">
        <f t="shared" si="1"/>
        <v>0</v>
      </c>
      <c r="L80" s="1024"/>
      <c r="M80" s="1024"/>
      <c r="N80" s="1024"/>
      <c r="O80" s="1024"/>
      <c r="P80" s="454"/>
      <c r="Q80" s="454"/>
      <c r="R80" s="454"/>
      <c r="S80" s="454"/>
      <c r="T80" s="454"/>
    </row>
    <row r="81" spans="1:20" ht="15.75" customHeight="1" x14ac:dyDescent="0.25">
      <c r="A81" s="1008">
        <v>2084</v>
      </c>
      <c r="B81" s="1008"/>
      <c r="C81" s="1008"/>
      <c r="D81" s="1013"/>
      <c r="E81" s="1013"/>
      <c r="F81" s="1013"/>
      <c r="G81" s="1013"/>
      <c r="H81" s="1014">
        <f t="shared" si="0"/>
        <v>0</v>
      </c>
      <c r="I81" s="1014"/>
      <c r="J81" s="464">
        <f t="shared" si="1"/>
        <v>0</v>
      </c>
      <c r="L81" s="1024"/>
      <c r="M81" s="1024"/>
      <c r="N81" s="1024"/>
      <c r="O81" s="1024"/>
      <c r="P81" s="454"/>
      <c r="Q81" s="454"/>
      <c r="R81" s="454"/>
      <c r="S81" s="454"/>
      <c r="T81" s="454"/>
    </row>
    <row r="82" spans="1:20" ht="15.75" customHeight="1" x14ac:dyDescent="0.25">
      <c r="A82" s="1008">
        <v>2085</v>
      </c>
      <c r="B82" s="1008"/>
      <c r="C82" s="1008"/>
      <c r="D82" s="1013"/>
      <c r="E82" s="1013"/>
      <c r="F82" s="1013"/>
      <c r="G82" s="1013"/>
      <c r="H82" s="1014">
        <f t="shared" si="0"/>
        <v>0</v>
      </c>
      <c r="I82" s="1014"/>
      <c r="J82" s="464">
        <f t="shared" si="1"/>
        <v>0</v>
      </c>
      <c r="L82" s="1024"/>
      <c r="M82" s="1024"/>
      <c r="N82" s="1024"/>
      <c r="O82" s="1024"/>
      <c r="P82" s="454"/>
      <c r="Q82" s="454"/>
      <c r="R82" s="454"/>
      <c r="S82" s="454"/>
      <c r="T82" s="454"/>
    </row>
    <row r="83" spans="1:20" ht="15.75" customHeight="1" x14ac:dyDescent="0.25">
      <c r="A83" s="1008">
        <v>2086</v>
      </c>
      <c r="B83" s="1008"/>
      <c r="C83" s="1008"/>
      <c r="D83" s="1013"/>
      <c r="E83" s="1013"/>
      <c r="F83" s="1013"/>
      <c r="G83" s="1013"/>
      <c r="H83" s="1014">
        <f t="shared" si="0"/>
        <v>0</v>
      </c>
      <c r="I83" s="1014"/>
      <c r="J83" s="464">
        <f t="shared" si="1"/>
        <v>0</v>
      </c>
      <c r="L83" s="1024"/>
      <c r="M83" s="1024"/>
      <c r="N83" s="1024"/>
      <c r="O83" s="1024"/>
      <c r="P83" s="454"/>
      <c r="Q83" s="454"/>
      <c r="R83" s="454"/>
      <c r="S83" s="454"/>
      <c r="T83" s="454"/>
    </row>
    <row r="84" spans="1:20" ht="15.75" customHeight="1" x14ac:dyDescent="0.25">
      <c r="A84" s="1008">
        <v>2087</v>
      </c>
      <c r="B84" s="1008"/>
      <c r="C84" s="1008"/>
      <c r="D84" s="1013"/>
      <c r="E84" s="1013"/>
      <c r="F84" s="1013"/>
      <c r="G84" s="1013"/>
      <c r="H84" s="1014">
        <f t="shared" si="0"/>
        <v>0</v>
      </c>
      <c r="I84" s="1014"/>
      <c r="J84" s="464">
        <f t="shared" si="1"/>
        <v>0</v>
      </c>
      <c r="L84" s="1024"/>
      <c r="M84" s="1024"/>
      <c r="N84" s="1024"/>
      <c r="O84" s="1024"/>
      <c r="P84" s="454"/>
      <c r="Q84" s="454"/>
      <c r="R84" s="454"/>
      <c r="S84" s="454"/>
      <c r="T84" s="454"/>
    </row>
    <row r="85" spans="1:20" ht="15.75" customHeight="1" x14ac:dyDescent="0.25">
      <c r="A85" s="1008">
        <v>2088</v>
      </c>
      <c r="B85" s="1008"/>
      <c r="C85" s="1008"/>
      <c r="D85" s="1013"/>
      <c r="E85" s="1013"/>
      <c r="F85" s="1013"/>
      <c r="G85" s="1013"/>
      <c r="H85" s="1014">
        <f t="shared" si="0"/>
        <v>0</v>
      </c>
      <c r="I85" s="1014"/>
      <c r="J85" s="464">
        <f t="shared" si="1"/>
        <v>0</v>
      </c>
      <c r="L85" s="1024"/>
      <c r="M85" s="1024"/>
      <c r="N85" s="1024"/>
      <c r="O85" s="1024"/>
      <c r="P85" s="454"/>
      <c r="Q85" s="454"/>
      <c r="R85" s="454"/>
      <c r="S85" s="454"/>
      <c r="T85" s="454"/>
    </row>
    <row r="86" spans="1:20" ht="15.75" customHeight="1" x14ac:dyDescent="0.25">
      <c r="A86" s="1008">
        <v>2089</v>
      </c>
      <c r="B86" s="1008"/>
      <c r="C86" s="1008"/>
      <c r="D86" s="1013"/>
      <c r="E86" s="1013"/>
      <c r="F86" s="1013"/>
      <c r="G86" s="1013"/>
      <c r="H86" s="1014">
        <f t="shared" si="0"/>
        <v>0</v>
      </c>
      <c r="I86" s="1014"/>
      <c r="J86" s="464">
        <f t="shared" si="1"/>
        <v>0</v>
      </c>
      <c r="L86" s="1024"/>
      <c r="M86" s="1024"/>
      <c r="N86" s="1024"/>
      <c r="O86" s="1024"/>
      <c r="P86" s="454"/>
      <c r="Q86" s="454"/>
      <c r="R86" s="454"/>
      <c r="S86" s="454"/>
      <c r="T86" s="454"/>
    </row>
    <row r="87" spans="1:20" ht="15.75" customHeight="1" x14ac:dyDescent="0.25">
      <c r="A87" s="1008">
        <v>2090</v>
      </c>
      <c r="B87" s="1008"/>
      <c r="C87" s="1008"/>
      <c r="D87" s="1013"/>
      <c r="E87" s="1013"/>
      <c r="F87" s="1013"/>
      <c r="G87" s="1013"/>
      <c r="H87" s="1014">
        <f t="shared" si="0"/>
        <v>0</v>
      </c>
      <c r="I87" s="1014"/>
      <c r="J87" s="464">
        <f t="shared" si="1"/>
        <v>0</v>
      </c>
      <c r="L87" s="1024"/>
      <c r="M87" s="1024"/>
      <c r="N87" s="1024"/>
      <c r="O87" s="1024"/>
      <c r="P87" s="454"/>
      <c r="Q87" s="454"/>
      <c r="R87" s="454"/>
      <c r="S87" s="454"/>
      <c r="T87" s="454"/>
    </row>
    <row r="88" spans="1:20" ht="15.75" customHeight="1" x14ac:dyDescent="0.25">
      <c r="A88" s="1008">
        <v>2091</v>
      </c>
      <c r="B88" s="1008"/>
      <c r="C88" s="1008"/>
      <c r="D88" s="1013"/>
      <c r="E88" s="1013"/>
      <c r="F88" s="1013"/>
      <c r="G88" s="1013"/>
      <c r="H88" s="1014">
        <f t="shared" si="0"/>
        <v>0</v>
      </c>
      <c r="I88" s="1014"/>
      <c r="J88" s="464">
        <f t="shared" si="1"/>
        <v>0</v>
      </c>
      <c r="L88" s="1024"/>
      <c r="M88" s="1024"/>
      <c r="N88" s="1024"/>
      <c r="O88" s="1024"/>
      <c r="P88" s="454"/>
      <c r="Q88" s="454"/>
      <c r="R88" s="454"/>
      <c r="S88" s="454"/>
      <c r="T88" s="454"/>
    </row>
    <row r="89" spans="1:20" ht="11.25" customHeight="1" x14ac:dyDescent="0.25">
      <c r="A89" s="1008">
        <v>2092</v>
      </c>
      <c r="B89" s="1008"/>
      <c r="C89" s="1008"/>
      <c r="D89" s="465"/>
      <c r="E89" s="465"/>
      <c r="F89" s="1009"/>
      <c r="G89" s="1009"/>
      <c r="H89" s="1010">
        <f t="shared" si="0"/>
        <v>0</v>
      </c>
      <c r="I89" s="1010"/>
      <c r="J89" s="464">
        <f t="shared" si="1"/>
        <v>0</v>
      </c>
      <c r="L89" s="1024"/>
      <c r="M89" s="1024"/>
      <c r="N89" s="1024"/>
      <c r="O89" s="1024"/>
    </row>
    <row r="90" spans="1:20" ht="27" customHeight="1" x14ac:dyDescent="0.25">
      <c r="A90" s="1011" t="s">
        <v>155</v>
      </c>
      <c r="B90" s="1011"/>
      <c r="C90" s="1011"/>
      <c r="D90" s="1011"/>
      <c r="E90" s="1011"/>
      <c r="F90" s="1011"/>
      <c r="G90" s="1011"/>
      <c r="H90" s="1011"/>
      <c r="I90" s="1011"/>
      <c r="J90" s="1011"/>
      <c r="L90" s="454"/>
      <c r="M90" s="454"/>
      <c r="N90" s="454"/>
      <c r="O90" s="454"/>
    </row>
    <row r="91" spans="1:20" ht="22.5" customHeight="1" x14ac:dyDescent="0.25">
      <c r="A91" s="1012" t="s">
        <v>767</v>
      </c>
      <c r="B91" s="1012"/>
      <c r="C91" s="1012"/>
      <c r="D91" s="1012"/>
      <c r="E91" s="1012"/>
      <c r="F91" s="1012"/>
      <c r="G91" s="1012"/>
      <c r="H91" s="1012"/>
      <c r="I91" s="1012"/>
      <c r="J91" s="1012"/>
      <c r="L91" s="454"/>
      <c r="M91" s="454"/>
      <c r="N91" s="454"/>
      <c r="O91" s="454"/>
    </row>
    <row r="92" spans="1:20" ht="24.75" customHeight="1" x14ac:dyDescent="0.25">
      <c r="A92" s="1012" t="s">
        <v>768</v>
      </c>
      <c r="B92" s="1012"/>
      <c r="C92" s="1012"/>
      <c r="D92" s="1012"/>
      <c r="E92" s="1012"/>
      <c r="F92" s="1012"/>
      <c r="G92" s="1012"/>
      <c r="H92" s="1012"/>
      <c r="I92" s="1012"/>
      <c r="J92" s="1012"/>
      <c r="L92" s="454"/>
      <c r="M92" s="454"/>
      <c r="N92" s="454"/>
      <c r="O92" s="454"/>
    </row>
  </sheetData>
  <sheetProtection password="F3F6" sheet="1"/>
  <mergeCells count="326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H15:I15"/>
    <mergeCell ref="A16:C16"/>
    <mergeCell ref="D16:E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89:C89"/>
    <mergeCell ref="F89:G89"/>
    <mergeCell ref="H89:I89"/>
    <mergeCell ref="A90:J90"/>
    <mergeCell ref="A91:J91"/>
    <mergeCell ref="A92:J92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0" zoomScaleNormal="80" workbookViewId="0">
      <selection activeCell="B13" sqref="B13"/>
    </sheetView>
  </sheetViews>
  <sheetFormatPr defaultColWidth="22.26953125" defaultRowHeight="11.25" customHeight="1" x14ac:dyDescent="0.25"/>
  <cols>
    <col min="1" max="1" width="48" style="467" customWidth="1"/>
    <col min="2" max="2" width="22.81640625" style="467" customWidth="1"/>
    <col min="3" max="3" width="14.81640625" style="467" customWidth="1"/>
    <col min="4" max="4" width="13.453125" style="467" customWidth="1"/>
    <col min="5" max="5" width="14.453125" style="467" customWidth="1"/>
    <col min="6" max="6" width="23.7265625" style="467" customWidth="1"/>
    <col min="7" max="7" width="17.81640625" style="467" customWidth="1"/>
    <col min="8" max="8" width="19.1796875" style="468" customWidth="1"/>
    <col min="9" max="16384" width="22.26953125" style="467"/>
  </cols>
  <sheetData>
    <row r="1" spans="1:8" ht="15.75" customHeight="1" x14ac:dyDescent="0.3">
      <c r="A1" s="469" t="s">
        <v>769</v>
      </c>
    </row>
    <row r="3" spans="1:8" ht="11.25" customHeight="1" x14ac:dyDescent="0.25">
      <c r="A3" s="1030" t="str">
        <f>'Informações Iniciais'!A1</f>
        <v>ESTADO DO MARANHÃO - PREFEITURA MUNICIPAL DE DAVINOPOLIS</v>
      </c>
      <c r="B3" s="1030"/>
      <c r="C3" s="1030"/>
      <c r="D3" s="1030"/>
      <c r="E3" s="1030"/>
      <c r="F3" s="1030"/>
      <c r="G3" s="470"/>
    </row>
    <row r="4" spans="1:8" ht="11.25" customHeight="1" x14ac:dyDescent="0.25">
      <c r="A4" s="1030" t="s">
        <v>1</v>
      </c>
      <c r="B4" s="1030"/>
      <c r="C4" s="1030"/>
      <c r="D4" s="1030"/>
      <c r="E4" s="1030"/>
      <c r="F4" s="1030"/>
      <c r="G4" s="470"/>
    </row>
    <row r="5" spans="1:8" ht="11.25" customHeight="1" x14ac:dyDescent="0.25">
      <c r="A5" s="1034" t="s">
        <v>770</v>
      </c>
      <c r="B5" s="1034"/>
      <c r="C5" s="1034"/>
      <c r="D5" s="1034"/>
      <c r="E5" s="1034"/>
      <c r="F5" s="1034"/>
      <c r="G5" s="471"/>
    </row>
    <row r="6" spans="1:8" ht="11.25" customHeight="1" x14ac:dyDescent="0.25">
      <c r="A6" s="1030" t="s">
        <v>30</v>
      </c>
      <c r="B6" s="1030"/>
      <c r="C6" s="1030"/>
      <c r="D6" s="1030"/>
      <c r="E6" s="1030"/>
      <c r="F6" s="1030"/>
      <c r="G6" s="470"/>
    </row>
    <row r="7" spans="1:8" ht="11.25" customHeight="1" x14ac:dyDescent="0.25">
      <c r="A7" s="1030" t="str">
        <f>'Informações Iniciais'!A5</f>
        <v>2º Bimestre de 2017</v>
      </c>
      <c r="B7" s="1030"/>
      <c r="C7" s="1030"/>
      <c r="D7" s="1030"/>
      <c r="E7" s="1030"/>
      <c r="F7" s="1030"/>
      <c r="G7" s="470"/>
    </row>
    <row r="9" spans="1:8" ht="11.25" customHeight="1" x14ac:dyDescent="0.25">
      <c r="A9" s="472" t="s">
        <v>771</v>
      </c>
      <c r="F9" s="473"/>
      <c r="G9" s="473"/>
      <c r="H9" s="473" t="s">
        <v>32</v>
      </c>
    </row>
    <row r="10" spans="1:8" ht="11.25" customHeight="1" x14ac:dyDescent="0.25">
      <c r="A10" s="1035" t="s">
        <v>33</v>
      </c>
      <c r="B10" s="474" t="s">
        <v>35</v>
      </c>
      <c r="C10" s="1036" t="s">
        <v>36</v>
      </c>
      <c r="D10" s="1036"/>
      <c r="E10" s="1036"/>
      <c r="F10" s="1036"/>
      <c r="G10" s="1036"/>
      <c r="H10" s="474" t="s">
        <v>37</v>
      </c>
    </row>
    <row r="11" spans="1:8" ht="11.25" customHeight="1" x14ac:dyDescent="0.25">
      <c r="A11" s="1035"/>
      <c r="B11" s="475" t="s">
        <v>41</v>
      </c>
      <c r="C11" s="1037" t="s">
        <v>42</v>
      </c>
      <c r="D11" s="1037"/>
      <c r="E11" s="1037"/>
      <c r="F11" s="1037"/>
      <c r="G11" s="1037"/>
      <c r="H11" s="475" t="s">
        <v>174</v>
      </c>
    </row>
    <row r="12" spans="1:8" ht="11.25" customHeight="1" x14ac:dyDescent="0.25">
      <c r="A12" s="476" t="s">
        <v>772</v>
      </c>
      <c r="B12" s="464">
        <f>SUM(B13:B14)</f>
        <v>0</v>
      </c>
      <c r="C12" s="1017">
        <f>SUM(C13:G14)</f>
        <v>0</v>
      </c>
      <c r="D12" s="1017"/>
      <c r="E12" s="1017"/>
      <c r="F12" s="1017"/>
      <c r="G12" s="1017"/>
      <c r="H12" s="464">
        <f>B12-C12</f>
        <v>0</v>
      </c>
    </row>
    <row r="13" spans="1:8" ht="11.25" customHeight="1" x14ac:dyDescent="0.25">
      <c r="A13" s="477" t="s">
        <v>773</v>
      </c>
      <c r="B13" s="478"/>
      <c r="C13" s="1013"/>
      <c r="D13" s="1013"/>
      <c r="E13" s="1013"/>
      <c r="F13" s="1013"/>
      <c r="G13" s="1013"/>
      <c r="H13" s="464">
        <f>B13-C13</f>
        <v>0</v>
      </c>
    </row>
    <row r="14" spans="1:8" ht="11.25" customHeight="1" x14ac:dyDescent="0.25">
      <c r="A14" s="477" t="s">
        <v>774</v>
      </c>
      <c r="B14" s="478"/>
      <c r="C14" s="1009"/>
      <c r="D14" s="1009"/>
      <c r="E14" s="1009"/>
      <c r="F14" s="1009"/>
      <c r="G14" s="1009"/>
      <c r="H14" s="464">
        <f>B14-C14</f>
        <v>0</v>
      </c>
    </row>
    <row r="15" spans="1:8" s="468" customFormat="1" ht="11.25" customHeight="1" x14ac:dyDescent="0.25">
      <c r="A15" s="479"/>
      <c r="B15" s="480"/>
      <c r="C15" s="480"/>
      <c r="D15" s="480"/>
      <c r="E15" s="480"/>
      <c r="F15" s="480"/>
      <c r="G15" s="480"/>
      <c r="H15" s="480"/>
    </row>
    <row r="16" spans="1:8" ht="11.25" customHeight="1" x14ac:dyDescent="0.25">
      <c r="A16" s="481"/>
      <c r="B16" s="482" t="s">
        <v>120</v>
      </c>
      <c r="C16" s="483" t="s">
        <v>775</v>
      </c>
      <c r="D16" s="484" t="s">
        <v>775</v>
      </c>
      <c r="E16" s="485" t="s">
        <v>776</v>
      </c>
      <c r="F16" s="486" t="s">
        <v>775</v>
      </c>
      <c r="G16" s="487" t="s">
        <v>777</v>
      </c>
      <c r="H16" s="474" t="s">
        <v>37</v>
      </c>
    </row>
    <row r="17" spans="1:13" ht="11.25" customHeight="1" x14ac:dyDescent="0.25">
      <c r="A17" s="488"/>
      <c r="B17" s="489"/>
      <c r="C17" s="490" t="s">
        <v>778</v>
      </c>
      <c r="D17" s="491" t="s">
        <v>779</v>
      </c>
      <c r="E17" s="492" t="s">
        <v>780</v>
      </c>
      <c r="F17" s="493" t="s">
        <v>781</v>
      </c>
      <c r="G17" s="494" t="s">
        <v>782</v>
      </c>
      <c r="H17" s="495"/>
    </row>
    <row r="18" spans="1:13" ht="11.25" customHeight="1" x14ac:dyDescent="0.25">
      <c r="A18" s="496" t="s">
        <v>125</v>
      </c>
      <c r="B18" s="489"/>
      <c r="C18" s="497"/>
      <c r="D18" s="491"/>
      <c r="E18" s="498"/>
      <c r="F18" s="499" t="s">
        <v>783</v>
      </c>
      <c r="G18" s="489"/>
      <c r="H18" s="491"/>
    </row>
    <row r="19" spans="1:13" ht="11.25" customHeight="1" x14ac:dyDescent="0.25">
      <c r="A19" s="500"/>
      <c r="B19" s="501" t="s">
        <v>126</v>
      </c>
      <c r="C19" s="502" t="s">
        <v>127</v>
      </c>
      <c r="D19" s="503"/>
      <c r="E19" s="502" t="s">
        <v>128</v>
      </c>
      <c r="F19" s="503"/>
      <c r="G19" s="502" t="s">
        <v>619</v>
      </c>
      <c r="H19" s="475" t="s">
        <v>784</v>
      </c>
    </row>
    <row r="20" spans="1:13" ht="11.25" customHeight="1" x14ac:dyDescent="0.25">
      <c r="A20" s="504" t="s">
        <v>785</v>
      </c>
      <c r="B20" s="505">
        <f t="shared" ref="B20:G20" si="0">B21+B25</f>
        <v>0</v>
      </c>
      <c r="C20" s="505">
        <f t="shared" si="0"/>
        <v>0</v>
      </c>
      <c r="D20" s="505">
        <f t="shared" si="0"/>
        <v>0</v>
      </c>
      <c r="E20" s="505">
        <f t="shared" si="0"/>
        <v>0</v>
      </c>
      <c r="F20" s="505">
        <f t="shared" si="0"/>
        <v>0</v>
      </c>
      <c r="G20" s="505">
        <f t="shared" si="0"/>
        <v>0</v>
      </c>
      <c r="H20" s="460">
        <f t="shared" ref="H20:H27" si="1">B20-E20</f>
        <v>0</v>
      </c>
    </row>
    <row r="21" spans="1:13" ht="11.25" customHeight="1" x14ac:dyDescent="0.25">
      <c r="A21" s="506" t="s">
        <v>447</v>
      </c>
      <c r="B21" s="507">
        <f t="shared" ref="B21:G21" si="2">SUM(B22:B24)</f>
        <v>0</v>
      </c>
      <c r="C21" s="507">
        <f t="shared" si="2"/>
        <v>0</v>
      </c>
      <c r="D21" s="507">
        <f t="shared" si="2"/>
        <v>0</v>
      </c>
      <c r="E21" s="507">
        <f t="shared" si="2"/>
        <v>0</v>
      </c>
      <c r="F21" s="507">
        <f t="shared" si="2"/>
        <v>0</v>
      </c>
      <c r="G21" s="507">
        <f t="shared" si="2"/>
        <v>0</v>
      </c>
      <c r="H21" s="463">
        <f t="shared" si="1"/>
        <v>0</v>
      </c>
    </row>
    <row r="22" spans="1:13" ht="11.25" customHeight="1" x14ac:dyDescent="0.25">
      <c r="A22" s="506" t="s">
        <v>786</v>
      </c>
      <c r="B22" s="478"/>
      <c r="C22" s="478"/>
      <c r="D22" s="478"/>
      <c r="E22" s="478"/>
      <c r="F22" s="478"/>
      <c r="G22" s="478"/>
      <c r="H22" s="463">
        <f t="shared" si="1"/>
        <v>0</v>
      </c>
    </row>
    <row r="23" spans="1:13" ht="11.25" customHeight="1" x14ac:dyDescent="0.25">
      <c r="A23" s="506" t="s">
        <v>787</v>
      </c>
      <c r="B23" s="478"/>
      <c r="C23" s="478"/>
      <c r="D23" s="478"/>
      <c r="E23" s="478"/>
      <c r="F23" s="478"/>
      <c r="G23" s="478"/>
      <c r="H23" s="463">
        <f t="shared" si="1"/>
        <v>0</v>
      </c>
    </row>
    <row r="24" spans="1:13" ht="11.25" customHeight="1" x14ac:dyDescent="0.25">
      <c r="A24" s="506" t="s">
        <v>788</v>
      </c>
      <c r="B24" s="478"/>
      <c r="C24" s="478"/>
      <c r="D24" s="478"/>
      <c r="E24" s="478"/>
      <c r="F24" s="478"/>
      <c r="G24" s="478"/>
      <c r="H24" s="463">
        <f t="shared" si="1"/>
        <v>0</v>
      </c>
    </row>
    <row r="25" spans="1:13" ht="11.25" customHeight="1" x14ac:dyDescent="0.25">
      <c r="A25" s="506" t="s">
        <v>789</v>
      </c>
      <c r="B25" s="507">
        <f t="shared" ref="B25:G25" si="3">SUM(B26:B27)</f>
        <v>0</v>
      </c>
      <c r="C25" s="507">
        <f t="shared" si="3"/>
        <v>0</v>
      </c>
      <c r="D25" s="507">
        <f t="shared" si="3"/>
        <v>0</v>
      </c>
      <c r="E25" s="507">
        <f t="shared" si="3"/>
        <v>0</v>
      </c>
      <c r="F25" s="507">
        <f t="shared" si="3"/>
        <v>0</v>
      </c>
      <c r="G25" s="507">
        <f t="shared" si="3"/>
        <v>0</v>
      </c>
      <c r="H25" s="463">
        <f t="shared" si="1"/>
        <v>0</v>
      </c>
    </row>
    <row r="26" spans="1:13" ht="11.25" customHeight="1" x14ac:dyDescent="0.25">
      <c r="A26" s="506" t="s">
        <v>790</v>
      </c>
      <c r="B26" s="478"/>
      <c r="C26" s="478"/>
      <c r="D26" s="478"/>
      <c r="E26" s="478"/>
      <c r="F26" s="478"/>
      <c r="G26" s="478"/>
      <c r="H26" s="463">
        <f t="shared" si="1"/>
        <v>0</v>
      </c>
    </row>
    <row r="27" spans="1:13" ht="11.25" customHeight="1" x14ac:dyDescent="0.25">
      <c r="A27" s="506" t="s">
        <v>791</v>
      </c>
      <c r="B27" s="478"/>
      <c r="C27" s="478"/>
      <c r="D27" s="478"/>
      <c r="E27" s="478"/>
      <c r="F27" s="478"/>
      <c r="G27" s="478"/>
      <c r="H27" s="466">
        <f t="shared" si="1"/>
        <v>0</v>
      </c>
    </row>
    <row r="28" spans="1:13" ht="11.25" customHeight="1" x14ac:dyDescent="0.25">
      <c r="A28" s="508"/>
      <c r="B28" s="509"/>
      <c r="C28" s="509"/>
      <c r="D28" s="509"/>
      <c r="E28" s="509"/>
      <c r="F28" s="510"/>
      <c r="G28" s="510"/>
      <c r="H28" s="510"/>
    </row>
    <row r="29" spans="1:13" ht="11.25" customHeight="1" x14ac:dyDescent="0.25">
      <c r="A29" s="1031" t="s">
        <v>792</v>
      </c>
      <c r="B29" s="511">
        <f>C29-1</f>
        <v>2016</v>
      </c>
      <c r="C29" s="1032">
        <v>2017</v>
      </c>
      <c r="D29" s="1032"/>
      <c r="E29" s="1032"/>
      <c r="F29" s="1032"/>
      <c r="G29" s="1032"/>
      <c r="H29" s="484" t="s">
        <v>793</v>
      </c>
    </row>
    <row r="30" spans="1:13" ht="11.25" customHeight="1" x14ac:dyDescent="0.25">
      <c r="A30" s="1031"/>
      <c r="B30" s="503" t="s">
        <v>621</v>
      </c>
      <c r="C30" s="501"/>
      <c r="D30" s="1033" t="s">
        <v>794</v>
      </c>
      <c r="E30" s="1033"/>
      <c r="F30" s="1033"/>
      <c r="G30" s="512"/>
      <c r="H30" s="503" t="s">
        <v>795</v>
      </c>
    </row>
    <row r="31" spans="1:13" ht="11.25" customHeight="1" x14ac:dyDescent="0.25">
      <c r="A31" s="513" t="s">
        <v>796</v>
      </c>
      <c r="B31" s="478"/>
      <c r="C31" s="1010">
        <f>C12-E20-G20</f>
        <v>0</v>
      </c>
      <c r="D31" s="1010"/>
      <c r="E31" s="1010"/>
      <c r="F31" s="1010"/>
      <c r="G31" s="1010"/>
      <c r="H31" s="514">
        <f>B31+C31</f>
        <v>0</v>
      </c>
    </row>
    <row r="32" spans="1:13" ht="16.5" customHeight="1" x14ac:dyDescent="0.25">
      <c r="A32" s="1027" t="s">
        <v>155</v>
      </c>
      <c r="B32" s="1027"/>
      <c r="C32" s="1027"/>
      <c r="D32" s="1027"/>
      <c r="E32" s="1027"/>
      <c r="F32" s="1027"/>
      <c r="G32" s="1027"/>
      <c r="H32" s="1027"/>
      <c r="I32" s="389"/>
      <c r="J32" s="389"/>
      <c r="K32" s="389"/>
      <c r="L32" s="389"/>
      <c r="M32" s="389"/>
    </row>
    <row r="33" spans="1:8" ht="11.25" customHeight="1" x14ac:dyDescent="0.25">
      <c r="A33" s="1028"/>
      <c r="B33" s="1028"/>
      <c r="C33" s="1028"/>
      <c r="D33" s="1028"/>
      <c r="E33" s="1028"/>
      <c r="F33" s="1028"/>
      <c r="G33" s="1028"/>
      <c r="H33" s="1028"/>
    </row>
    <row r="34" spans="1:8" ht="11.25" customHeight="1" x14ac:dyDescent="0.25">
      <c r="A34" s="1029"/>
      <c r="B34" s="1029"/>
      <c r="C34" s="1029"/>
      <c r="D34" s="1029"/>
      <c r="E34" s="1029"/>
      <c r="F34" s="1029"/>
      <c r="G34" s="1029"/>
      <c r="H34" s="1029"/>
    </row>
    <row r="35" spans="1:8" ht="11.25" customHeight="1" x14ac:dyDescent="0.25">
      <c r="A35" s="1030"/>
      <c r="B35" s="1030"/>
      <c r="C35" s="1030"/>
      <c r="D35" s="1030"/>
      <c r="E35" s="1030"/>
      <c r="F35" s="1030"/>
      <c r="G35" s="1030"/>
      <c r="H35" s="1030"/>
    </row>
    <row r="36" spans="1:8" ht="11.25" customHeight="1" x14ac:dyDescent="0.25">
      <c r="A36" s="1030"/>
      <c r="B36" s="1030"/>
      <c r="C36" s="1030"/>
      <c r="D36" s="1030"/>
      <c r="E36" s="1030"/>
      <c r="F36" s="1030"/>
      <c r="G36" s="1030"/>
      <c r="H36" s="1030"/>
    </row>
    <row r="39" spans="1:8" ht="11.25" customHeight="1" x14ac:dyDescent="0.25">
      <c r="D39" s="467" t="s">
        <v>797</v>
      </c>
    </row>
  </sheetData>
  <sheetProtection password="F3F6" sheet="1" selectLockedCells="1"/>
  <mergeCells count="20">
    <mergeCell ref="A3:F3"/>
    <mergeCell ref="A4:F4"/>
    <mergeCell ref="A5:F5"/>
    <mergeCell ref="A6:F6"/>
    <mergeCell ref="A7:F7"/>
    <mergeCell ref="A10:A11"/>
    <mergeCell ref="C10:G10"/>
    <mergeCell ref="C11:G11"/>
    <mergeCell ref="C12:G12"/>
    <mergeCell ref="C13:G13"/>
    <mergeCell ref="C14:G14"/>
    <mergeCell ref="A29:A30"/>
    <mergeCell ref="C29:G29"/>
    <mergeCell ref="D30:F30"/>
    <mergeCell ref="C31:G31"/>
    <mergeCell ref="A32:H32"/>
    <mergeCell ref="A33:H33"/>
    <mergeCell ref="A34:H34"/>
    <mergeCell ref="A35:H35"/>
    <mergeCell ref="A36:H36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7" zoomScale="80" zoomScaleNormal="80" workbookViewId="0">
      <selection activeCell="D120" sqref="D120"/>
    </sheetView>
  </sheetViews>
  <sheetFormatPr defaultColWidth="8.81640625" defaultRowHeight="12.5" x14ac:dyDescent="0.25"/>
  <cols>
    <col min="1" max="1" width="78.54296875" style="4" customWidth="1"/>
    <col min="2" max="2" width="17.7265625" style="4" customWidth="1"/>
    <col min="3" max="8" width="15.7265625" style="4" customWidth="1"/>
    <col min="9" max="16384" width="8.81640625" style="311"/>
  </cols>
  <sheetData>
    <row r="1" spans="1:256" ht="15" x14ac:dyDescent="0.3">
      <c r="A1" s="515" t="s">
        <v>798</v>
      </c>
      <c r="B1" s="516"/>
      <c r="C1" s="516"/>
      <c r="D1" s="516"/>
      <c r="E1" s="516"/>
      <c r="F1" s="517"/>
      <c r="G1" s="517"/>
    </row>
    <row r="2" spans="1:256" x14ac:dyDescent="0.25">
      <c r="A2" s="518"/>
      <c r="B2" s="518"/>
      <c r="C2" s="518"/>
      <c r="D2" s="518"/>
      <c r="E2" s="518"/>
      <c r="F2" s="517"/>
      <c r="G2" s="517"/>
    </row>
    <row r="3" spans="1:256" x14ac:dyDescent="0.25">
      <c r="A3" s="762" t="str">
        <f>'Informações Iniciais'!A1</f>
        <v>ESTADO DO MARANHÃO - PREFEITURA MUNICIPAL DE DAVINOPOLIS</v>
      </c>
      <c r="B3" s="762"/>
      <c r="C3" s="762"/>
      <c r="D3" s="762"/>
      <c r="E3" s="762"/>
      <c r="F3" s="762"/>
      <c r="G3" s="762"/>
    </row>
    <row r="4" spans="1:256" x14ac:dyDescent="0.25">
      <c r="A4" s="762" t="s">
        <v>1</v>
      </c>
      <c r="B4" s="762"/>
      <c r="C4" s="762"/>
      <c r="D4" s="762"/>
      <c r="E4" s="762"/>
      <c r="F4" s="762"/>
      <c r="G4" s="762"/>
    </row>
    <row r="5" spans="1:256" x14ac:dyDescent="0.25">
      <c r="A5" s="1079" t="s">
        <v>799</v>
      </c>
      <c r="B5" s="1079"/>
      <c r="C5" s="1079"/>
      <c r="D5" s="1079"/>
      <c r="E5" s="1079"/>
      <c r="F5" s="1079"/>
      <c r="G5" s="1079"/>
    </row>
    <row r="6" spans="1:256" ht="12.75" customHeight="1" x14ac:dyDescent="0.25">
      <c r="A6" s="762" t="s">
        <v>30</v>
      </c>
      <c r="B6" s="762"/>
      <c r="C6" s="762"/>
      <c r="D6" s="762"/>
      <c r="E6" s="762"/>
      <c r="F6" s="762"/>
      <c r="G6" s="762"/>
      <c r="II6" s="967" t="s">
        <v>2</v>
      </c>
      <c r="IJ6" s="967"/>
      <c r="IK6" s="967"/>
      <c r="IL6" s="967"/>
      <c r="IM6" s="967"/>
      <c r="IN6" s="967"/>
      <c r="IO6" s="311">
        <f>IF($A$7=IP6,1,0)</f>
        <v>0</v>
      </c>
      <c r="IP6" s="961" t="s">
        <v>553</v>
      </c>
      <c r="IQ6" s="961"/>
      <c r="IR6" s="961"/>
      <c r="IS6" s="961"/>
      <c r="IT6" s="961"/>
      <c r="IU6" s="961"/>
      <c r="IV6" s="961"/>
    </row>
    <row r="7" spans="1:256" x14ac:dyDescent="0.25">
      <c r="A7" s="1079" t="str">
        <f>+'Informações Iniciais'!A5</f>
        <v>2º Bimestre de 2017</v>
      </c>
      <c r="B7" s="1079"/>
      <c r="C7" s="1079"/>
      <c r="D7" s="1079"/>
      <c r="E7" s="1079"/>
      <c r="F7" s="1079"/>
      <c r="G7" s="1079"/>
      <c r="II7" s="967"/>
      <c r="IJ7" s="967"/>
      <c r="IK7" s="967"/>
      <c r="IL7" s="967"/>
      <c r="IM7" s="967"/>
      <c r="IN7" s="967"/>
      <c r="IT7" s="311">
        <f t="shared" ref="IT7:IT12" si="0">IF($A$7=IV7,1,0)</f>
        <v>0</v>
      </c>
      <c r="IV7" s="312" t="s">
        <v>5</v>
      </c>
    </row>
    <row r="8" spans="1:256" ht="15" x14ac:dyDescent="0.3">
      <c r="A8" s="1080" t="str">
        <f>IF(IT13=1,"","O período acima deve ser escolhido clicando na setinha ao lado da célula. A indicação de período diferente pode comprometer os dados da planilha!!!")</f>
        <v/>
      </c>
      <c r="B8" s="1080"/>
      <c r="C8" s="1080"/>
      <c r="D8" s="1080"/>
      <c r="E8" s="1080"/>
      <c r="F8" s="1080"/>
      <c r="G8" s="1080"/>
      <c r="II8" s="967"/>
      <c r="IJ8" s="967"/>
      <c r="IK8" s="967"/>
      <c r="IL8" s="967"/>
      <c r="IM8" s="967"/>
      <c r="IN8" s="967"/>
      <c r="IT8" s="311">
        <f t="shared" si="0"/>
        <v>1</v>
      </c>
      <c r="IV8" s="312" t="s">
        <v>4</v>
      </c>
    </row>
    <row r="9" spans="1:256" x14ac:dyDescent="0.25">
      <c r="A9" s="1081" t="s">
        <v>800</v>
      </c>
      <c r="B9" s="1081"/>
      <c r="C9" s="1081"/>
      <c r="D9" s="1081"/>
      <c r="E9" s="1081"/>
      <c r="F9" s="1081"/>
      <c r="G9" s="519" t="s">
        <v>32</v>
      </c>
      <c r="II9" s="967"/>
      <c r="IJ9" s="967"/>
      <c r="IK9" s="967"/>
      <c r="IL9" s="967"/>
      <c r="IM9" s="967"/>
      <c r="IN9" s="967"/>
      <c r="IT9" s="311">
        <f t="shared" si="0"/>
        <v>0</v>
      </c>
      <c r="IV9" s="312" t="s">
        <v>7</v>
      </c>
    </row>
    <row r="10" spans="1:256" ht="12.75" customHeight="1" x14ac:dyDescent="0.25">
      <c r="A10" s="520"/>
      <c r="B10" s="1042" t="s">
        <v>34</v>
      </c>
      <c r="C10" s="1042" t="s">
        <v>35</v>
      </c>
      <c r="D10" s="1043" t="s">
        <v>36</v>
      </c>
      <c r="E10" s="1043"/>
      <c r="F10" s="1043"/>
      <c r="G10" s="1043"/>
      <c r="II10" s="967"/>
      <c r="IJ10" s="967"/>
      <c r="IK10" s="967"/>
      <c r="IL10" s="967"/>
      <c r="IM10" s="967"/>
      <c r="IN10" s="967"/>
      <c r="IT10" s="311">
        <f t="shared" si="0"/>
        <v>0</v>
      </c>
      <c r="IV10" s="312" t="s">
        <v>9</v>
      </c>
    </row>
    <row r="11" spans="1:256" x14ac:dyDescent="0.25">
      <c r="A11" s="521" t="s">
        <v>801</v>
      </c>
      <c r="B11" s="1042"/>
      <c r="C11" s="1042"/>
      <c r="D11" s="1074" t="s">
        <v>40</v>
      </c>
      <c r="E11" s="1074"/>
      <c r="F11" s="1075" t="s">
        <v>39</v>
      </c>
      <c r="G11" s="1075"/>
      <c r="II11" s="967"/>
      <c r="IJ11" s="967"/>
      <c r="IK11" s="967"/>
      <c r="IL11" s="967"/>
      <c r="IM11" s="967"/>
      <c r="IN11" s="967"/>
      <c r="IT11" s="311">
        <f t="shared" si="0"/>
        <v>0</v>
      </c>
      <c r="IV11" s="312" t="s">
        <v>11</v>
      </c>
    </row>
    <row r="12" spans="1:256" x14ac:dyDescent="0.25">
      <c r="A12" s="523"/>
      <c r="B12" s="1042"/>
      <c r="C12" s="524" t="s">
        <v>41</v>
      </c>
      <c r="D12" s="1076" t="s">
        <v>42</v>
      </c>
      <c r="E12" s="1076"/>
      <c r="F12" s="1077" t="s">
        <v>802</v>
      </c>
      <c r="G12" s="1077"/>
      <c r="II12" s="967"/>
      <c r="IJ12" s="967"/>
      <c r="IK12" s="967"/>
      <c r="IL12" s="967"/>
      <c r="IM12" s="967"/>
      <c r="IN12" s="967"/>
      <c r="IT12" s="311">
        <f t="shared" si="0"/>
        <v>0</v>
      </c>
      <c r="IV12" s="312" t="s">
        <v>13</v>
      </c>
    </row>
    <row r="13" spans="1:256" ht="13" x14ac:dyDescent="0.25">
      <c r="A13" s="525" t="s">
        <v>803</v>
      </c>
      <c r="B13" s="526">
        <f>SUM(B14:B21)</f>
        <v>462762.58</v>
      </c>
      <c r="C13" s="526">
        <f>SUM(C14:C21)</f>
        <v>462762.58</v>
      </c>
      <c r="D13" s="1071">
        <f>SUM(D14:D21)</f>
        <v>309747.45</v>
      </c>
      <c r="E13" s="1071"/>
      <c r="F13" s="1068">
        <f t="shared" ref="F13:F31" si="1">IF(C13="",0,IF(C13=0,0,D13/C13))</f>
        <v>0.66934420237695103</v>
      </c>
      <c r="G13" s="1068"/>
      <c r="IT13" s="311">
        <f>SUM(IT7:IT12)+IO6</f>
        <v>1</v>
      </c>
    </row>
    <row r="14" spans="1:256" ht="13" x14ac:dyDescent="0.25">
      <c r="A14" s="527" t="s">
        <v>804</v>
      </c>
      <c r="B14" s="528">
        <v>453181.07</v>
      </c>
      <c r="C14" s="529">
        <v>453181.07</v>
      </c>
      <c r="D14" s="1067">
        <v>309747.45</v>
      </c>
      <c r="E14" s="1067"/>
      <c r="F14" s="1068">
        <f t="shared" si="1"/>
        <v>0.68349600304355163</v>
      </c>
      <c r="G14" s="1068"/>
      <c r="IU14" s="325" t="s">
        <v>559</v>
      </c>
      <c r="IV14" s="311">
        <f>+'Informações Iniciais'!C23</f>
        <v>0</v>
      </c>
    </row>
    <row r="15" spans="1:256" ht="13" x14ac:dyDescent="0.25">
      <c r="A15" s="527" t="s">
        <v>805</v>
      </c>
      <c r="B15" s="528"/>
      <c r="C15" s="529"/>
      <c r="D15" s="1067"/>
      <c r="E15" s="1067"/>
      <c r="F15" s="1068">
        <f t="shared" si="1"/>
        <v>0</v>
      </c>
      <c r="G15" s="1068"/>
    </row>
    <row r="16" spans="1:256" ht="13" x14ac:dyDescent="0.25">
      <c r="A16" s="527" t="s">
        <v>806</v>
      </c>
      <c r="B16" s="528"/>
      <c r="C16" s="529"/>
      <c r="D16" s="1067"/>
      <c r="E16" s="1067"/>
      <c r="F16" s="1068">
        <f t="shared" si="1"/>
        <v>0</v>
      </c>
      <c r="G16" s="1068"/>
    </row>
    <row r="17" spans="1:7" ht="13" x14ac:dyDescent="0.25">
      <c r="A17" s="527" t="s">
        <v>807</v>
      </c>
      <c r="B17" s="528"/>
      <c r="C17" s="529"/>
      <c r="D17" s="1067"/>
      <c r="E17" s="1067"/>
      <c r="F17" s="1068">
        <f t="shared" si="1"/>
        <v>0</v>
      </c>
      <c r="G17" s="1068"/>
    </row>
    <row r="18" spans="1:7" ht="13" x14ac:dyDescent="0.25">
      <c r="A18" s="527" t="s">
        <v>808</v>
      </c>
      <c r="B18" s="528"/>
      <c r="C18" s="529"/>
      <c r="D18" s="1067"/>
      <c r="E18" s="1067"/>
      <c r="F18" s="1068">
        <f t="shared" si="1"/>
        <v>0</v>
      </c>
      <c r="G18" s="1068"/>
    </row>
    <row r="19" spans="1:7" ht="13" x14ac:dyDescent="0.25">
      <c r="A19" s="527" t="s">
        <v>809</v>
      </c>
      <c r="B19" s="528"/>
      <c r="C19" s="529"/>
      <c r="D19" s="1067"/>
      <c r="E19" s="1067"/>
      <c r="F19" s="1068">
        <f t="shared" si="1"/>
        <v>0</v>
      </c>
      <c r="G19" s="1068"/>
    </row>
    <row r="20" spans="1:7" ht="13" x14ac:dyDescent="0.25">
      <c r="A20" s="527" t="s">
        <v>810</v>
      </c>
      <c r="B20" s="528"/>
      <c r="C20" s="529"/>
      <c r="D20" s="1067"/>
      <c r="E20" s="1067"/>
      <c r="F20" s="1068">
        <f t="shared" si="1"/>
        <v>0</v>
      </c>
      <c r="G20" s="1068"/>
    </row>
    <row r="21" spans="1:7" ht="13" x14ac:dyDescent="0.25">
      <c r="A21" s="527" t="s">
        <v>811</v>
      </c>
      <c r="B21" s="528">
        <v>9581.51</v>
      </c>
      <c r="C21" s="529">
        <v>9581.51</v>
      </c>
      <c r="D21" s="1067"/>
      <c r="E21" s="1067"/>
      <c r="F21" s="1068">
        <f t="shared" si="1"/>
        <v>0</v>
      </c>
      <c r="G21" s="1068"/>
    </row>
    <row r="22" spans="1:7" ht="13" x14ac:dyDescent="0.25">
      <c r="A22" s="527" t="s">
        <v>812</v>
      </c>
      <c r="B22" s="526">
        <f>SUM(B23:B28)</f>
        <v>9577690.4900000002</v>
      </c>
      <c r="C22" s="526">
        <f>SUM(C23:C28)</f>
        <v>9577690.4900000002</v>
      </c>
      <c r="D22" s="1078">
        <f>SUM(D23:D28)</f>
        <v>3783037.95</v>
      </c>
      <c r="E22" s="1078"/>
      <c r="F22" s="1068">
        <f t="shared" si="1"/>
        <v>0.39498436015966937</v>
      </c>
      <c r="G22" s="1068"/>
    </row>
    <row r="23" spans="1:7" ht="13" x14ac:dyDescent="0.25">
      <c r="A23" s="527" t="s">
        <v>813</v>
      </c>
      <c r="B23" s="532">
        <v>8856332.8499999996</v>
      </c>
      <c r="C23" s="529">
        <v>8856332.8499999996</v>
      </c>
      <c r="D23" s="1067">
        <v>3078866.06</v>
      </c>
      <c r="E23" s="1067"/>
      <c r="F23" s="1068">
        <f t="shared" si="1"/>
        <v>0.34764570304062142</v>
      </c>
      <c r="G23" s="1068"/>
    </row>
    <row r="24" spans="1:7" ht="13" x14ac:dyDescent="0.25">
      <c r="A24" s="527" t="s">
        <v>814</v>
      </c>
      <c r="B24" s="532"/>
      <c r="C24" s="529"/>
      <c r="D24" s="1067"/>
      <c r="E24" s="1067"/>
      <c r="F24" s="1068">
        <f t="shared" si="1"/>
        <v>0</v>
      </c>
      <c r="G24" s="1068"/>
    </row>
    <row r="25" spans="1:7" ht="13" x14ac:dyDescent="0.25">
      <c r="A25" s="527" t="s">
        <v>815</v>
      </c>
      <c r="B25" s="532"/>
      <c r="C25" s="529"/>
      <c r="D25" s="1067"/>
      <c r="E25" s="1067"/>
      <c r="F25" s="1068">
        <f t="shared" si="1"/>
        <v>0</v>
      </c>
      <c r="G25" s="1068"/>
    </row>
    <row r="26" spans="1:7" ht="13" x14ac:dyDescent="0.25">
      <c r="A26" s="527" t="s">
        <v>816</v>
      </c>
      <c r="B26" s="532">
        <v>721357.64</v>
      </c>
      <c r="C26" s="529">
        <v>721357.64</v>
      </c>
      <c r="D26" s="1067">
        <v>704171.89</v>
      </c>
      <c r="E26" s="1067"/>
      <c r="F26" s="1068">
        <f t="shared" si="1"/>
        <v>0.97617582590516405</v>
      </c>
      <c r="G26" s="1068"/>
    </row>
    <row r="27" spans="1:7" ht="13" x14ac:dyDescent="0.25">
      <c r="A27" s="527" t="s">
        <v>817</v>
      </c>
      <c r="B27" s="532"/>
      <c r="C27" s="529"/>
      <c r="D27" s="1067"/>
      <c r="E27" s="1067"/>
      <c r="F27" s="1068">
        <f t="shared" si="1"/>
        <v>0</v>
      </c>
      <c r="G27" s="1068"/>
    </row>
    <row r="28" spans="1:7" ht="13" x14ac:dyDescent="0.25">
      <c r="A28" s="527" t="s">
        <v>818</v>
      </c>
      <c r="B28" s="526">
        <f>SUM(B29:B30)</f>
        <v>0</v>
      </c>
      <c r="C28" s="526">
        <f>SUM(C29:C30)</f>
        <v>0</v>
      </c>
      <c r="D28" s="1078">
        <f>SUM(D29:D30)</f>
        <v>0</v>
      </c>
      <c r="E28" s="1078"/>
      <c r="F28" s="1068">
        <f t="shared" si="1"/>
        <v>0</v>
      </c>
      <c r="G28" s="1068"/>
    </row>
    <row r="29" spans="1:7" ht="13" x14ac:dyDescent="0.25">
      <c r="A29" s="527" t="s">
        <v>819</v>
      </c>
      <c r="B29" s="532"/>
      <c r="C29" s="529"/>
      <c r="D29" s="1067"/>
      <c r="E29" s="1067"/>
      <c r="F29" s="1068">
        <f t="shared" si="1"/>
        <v>0</v>
      </c>
      <c r="G29" s="1068"/>
    </row>
    <row r="30" spans="1:7" ht="13" x14ac:dyDescent="0.25">
      <c r="A30" s="527" t="s">
        <v>820</v>
      </c>
      <c r="B30" s="532"/>
      <c r="C30" s="529"/>
      <c r="D30" s="1067"/>
      <c r="E30" s="1067"/>
      <c r="F30" s="1068">
        <f t="shared" si="1"/>
        <v>0</v>
      </c>
      <c r="G30" s="1068"/>
    </row>
    <row r="31" spans="1:7" ht="13" x14ac:dyDescent="0.25">
      <c r="A31" s="533" t="s">
        <v>821</v>
      </c>
      <c r="B31" s="534">
        <f>B13+B22</f>
        <v>10040453.07</v>
      </c>
      <c r="C31" s="534">
        <f>C13+C22</f>
        <v>10040453.07</v>
      </c>
      <c r="D31" s="1072">
        <f>D13+D22</f>
        <v>4092785.4000000004</v>
      </c>
      <c r="E31" s="1072"/>
      <c r="F31" s="1070">
        <f t="shared" si="1"/>
        <v>0.40762955331456974</v>
      </c>
      <c r="G31" s="1070"/>
    </row>
    <row r="32" spans="1:7" x14ac:dyDescent="0.25">
      <c r="A32" s="535"/>
      <c r="B32" s="536"/>
      <c r="C32" s="535"/>
      <c r="D32" s="535"/>
      <c r="E32" s="535"/>
      <c r="F32" s="535"/>
      <c r="G32" s="535"/>
    </row>
    <row r="33" spans="1:8" ht="12.75" customHeight="1" x14ac:dyDescent="0.25">
      <c r="A33" s="1073" t="s">
        <v>822</v>
      </c>
      <c r="B33" s="1042" t="s">
        <v>34</v>
      </c>
      <c r="C33" s="1042" t="s">
        <v>35</v>
      </c>
      <c r="D33" s="1043" t="s">
        <v>36</v>
      </c>
      <c r="E33" s="1043"/>
      <c r="F33" s="1043"/>
      <c r="G33" s="1043"/>
    </row>
    <row r="34" spans="1:8" x14ac:dyDescent="0.25">
      <c r="A34" s="1073"/>
      <c r="B34" s="1042"/>
      <c r="C34" s="1042"/>
      <c r="D34" s="1074" t="s">
        <v>40</v>
      </c>
      <c r="E34" s="1074"/>
      <c r="F34" s="1075" t="s">
        <v>39</v>
      </c>
      <c r="G34" s="1075"/>
    </row>
    <row r="35" spans="1:8" x14ac:dyDescent="0.25">
      <c r="A35" s="1073"/>
      <c r="B35" s="1042"/>
      <c r="C35" s="524" t="s">
        <v>44</v>
      </c>
      <c r="D35" s="1076" t="s">
        <v>126</v>
      </c>
      <c r="E35" s="1076"/>
      <c r="F35" s="1077" t="s">
        <v>823</v>
      </c>
      <c r="G35" s="1077"/>
    </row>
    <row r="36" spans="1:8" ht="13" x14ac:dyDescent="0.25">
      <c r="A36" s="537" t="s">
        <v>824</v>
      </c>
      <c r="B36" s="538"/>
      <c r="C36" s="538">
        <f>SUM(C37:C40)</f>
        <v>50835498.18</v>
      </c>
      <c r="D36" s="1071"/>
      <c r="E36" s="1071"/>
      <c r="F36" s="1068">
        <f t="shared" ref="F36:F44" si="2">IF(C36="",0,IF(C36=0,0,D36/C36))</f>
        <v>0</v>
      </c>
      <c r="G36" s="1068"/>
    </row>
    <row r="37" spans="1:8" ht="13" x14ac:dyDescent="0.25">
      <c r="A37" s="537" t="s">
        <v>825</v>
      </c>
      <c r="B37" s="539"/>
      <c r="C37" s="529">
        <v>50835498.18</v>
      </c>
      <c r="D37" s="1067">
        <v>3559204.68</v>
      </c>
      <c r="E37" s="1067"/>
      <c r="F37" s="1068">
        <f t="shared" si="2"/>
        <v>7.001415954255924E-2</v>
      </c>
      <c r="G37" s="1068"/>
    </row>
    <row r="38" spans="1:8" ht="13" x14ac:dyDescent="0.25">
      <c r="A38" s="537" t="s">
        <v>826</v>
      </c>
      <c r="B38" s="539"/>
      <c r="C38" s="529"/>
      <c r="D38" s="1067"/>
      <c r="E38" s="1067"/>
      <c r="F38" s="1068">
        <f t="shared" si="2"/>
        <v>0</v>
      </c>
      <c r="G38" s="1068"/>
    </row>
    <row r="39" spans="1:8" ht="13" x14ac:dyDescent="0.25">
      <c r="A39" s="537" t="s">
        <v>827</v>
      </c>
      <c r="B39" s="539"/>
      <c r="C39" s="529"/>
      <c r="D39" s="1067"/>
      <c r="E39" s="1067"/>
      <c r="F39" s="1068">
        <f t="shared" si="2"/>
        <v>0</v>
      </c>
      <c r="G39" s="1068"/>
    </row>
    <row r="40" spans="1:8" ht="13" x14ac:dyDescent="0.25">
      <c r="A40" s="537" t="s">
        <v>828</v>
      </c>
      <c r="B40" s="539"/>
      <c r="C40" s="529"/>
      <c r="D40" s="1067"/>
      <c r="E40" s="1067"/>
      <c r="F40" s="1068">
        <f t="shared" si="2"/>
        <v>0</v>
      </c>
      <c r="G40" s="1068"/>
    </row>
    <row r="41" spans="1:8" ht="13" x14ac:dyDescent="0.25">
      <c r="A41" s="537" t="s">
        <v>829</v>
      </c>
      <c r="B41" s="539"/>
      <c r="C41" s="529"/>
      <c r="D41" s="1067"/>
      <c r="E41" s="1067"/>
      <c r="F41" s="1068">
        <f t="shared" si="2"/>
        <v>0</v>
      </c>
      <c r="G41" s="1068"/>
    </row>
    <row r="42" spans="1:8" ht="13" x14ac:dyDescent="0.25">
      <c r="A42" s="540" t="s">
        <v>830</v>
      </c>
      <c r="B42" s="539"/>
      <c r="C42" s="529"/>
      <c r="D42" s="1067"/>
      <c r="E42" s="1067"/>
      <c r="F42" s="1068">
        <f t="shared" si="2"/>
        <v>0</v>
      </c>
      <c r="G42" s="1068"/>
    </row>
    <row r="43" spans="1:8" ht="13" x14ac:dyDescent="0.25">
      <c r="A43" s="541" t="s">
        <v>831</v>
      </c>
      <c r="B43" s="542"/>
      <c r="C43" s="543"/>
      <c r="D43" s="1067"/>
      <c r="E43" s="1067"/>
      <c r="F43" s="1068">
        <f t="shared" si="2"/>
        <v>0</v>
      </c>
      <c r="G43" s="1068"/>
    </row>
    <row r="44" spans="1:8" ht="13" x14ac:dyDescent="0.25">
      <c r="A44" s="544" t="s">
        <v>832</v>
      </c>
      <c r="B44" s="545">
        <f>B36+B41+B42+B43</f>
        <v>0</v>
      </c>
      <c r="C44" s="545">
        <f>C36+C41+C42+C43</f>
        <v>50835498.18</v>
      </c>
      <c r="D44" s="1069">
        <f>D36+D41+D42+D43</f>
        <v>0</v>
      </c>
      <c r="E44" s="1069"/>
      <c r="F44" s="1070">
        <f t="shared" si="2"/>
        <v>0</v>
      </c>
      <c r="G44" s="1070"/>
    </row>
    <row r="45" spans="1:8" x14ac:dyDescent="0.25">
      <c r="A45" s="536"/>
      <c r="B45" s="536"/>
      <c r="C45" s="536"/>
      <c r="D45" s="536"/>
      <c r="E45" s="536"/>
      <c r="F45" s="546"/>
      <c r="G45" s="546"/>
      <c r="H45" s="547"/>
    </row>
    <row r="46" spans="1:8" ht="16.149999999999999" customHeight="1" x14ac:dyDescent="0.25">
      <c r="A46" s="1066" t="s">
        <v>833</v>
      </c>
      <c r="B46" s="1042" t="s">
        <v>119</v>
      </c>
      <c r="C46" s="1042" t="s">
        <v>120</v>
      </c>
      <c r="D46" s="1065" t="s">
        <v>121</v>
      </c>
      <c r="E46" s="1065"/>
      <c r="F46" s="1065" t="s">
        <v>122</v>
      </c>
      <c r="G46" s="1065"/>
      <c r="H46" s="1044" t="s">
        <v>834</v>
      </c>
    </row>
    <row r="47" spans="1:8" ht="16.149999999999999" customHeight="1" x14ac:dyDescent="0.25">
      <c r="A47" s="1066"/>
      <c r="B47" s="1042"/>
      <c r="C47" s="1042"/>
      <c r="D47" s="548" t="s">
        <v>40</v>
      </c>
      <c r="E47" s="549" t="s">
        <v>39</v>
      </c>
      <c r="F47" s="548" t="s">
        <v>40</v>
      </c>
      <c r="G47" s="549" t="s">
        <v>39</v>
      </c>
      <c r="H47" s="1044"/>
    </row>
    <row r="48" spans="1:8" ht="16.149999999999999" customHeight="1" x14ac:dyDescent="0.25">
      <c r="A48" s="550" t="s">
        <v>835</v>
      </c>
      <c r="B48" s="1042"/>
      <c r="C48" s="551" t="s">
        <v>127</v>
      </c>
      <c r="D48" s="552" t="s">
        <v>128</v>
      </c>
      <c r="E48" s="553" t="s">
        <v>836</v>
      </c>
      <c r="F48" s="552" t="s">
        <v>619</v>
      </c>
      <c r="G48" s="553" t="s">
        <v>837</v>
      </c>
      <c r="H48" s="1044"/>
    </row>
    <row r="49" spans="1:256" ht="13" x14ac:dyDescent="0.3">
      <c r="A49" s="554" t="s">
        <v>838</v>
      </c>
      <c r="B49" s="555">
        <f>SUM(B50:B52)</f>
        <v>7417953.25</v>
      </c>
      <c r="C49" s="555">
        <f>SUM(C50:C52)</f>
        <v>7542148.4299999997</v>
      </c>
      <c r="D49" s="555">
        <f>SUM(D50:D52)</f>
        <v>1186129.99</v>
      </c>
      <c r="E49" s="379">
        <f t="shared" ref="E49:E57" si="3">IF($C49="",0,IF($C49=0,0,D49/$C49))</f>
        <v>0.15726685850970451</v>
      </c>
      <c r="F49" s="556">
        <f>SUM(F50:F52)</f>
        <v>858893.12</v>
      </c>
      <c r="G49" s="352">
        <f t="shared" ref="G49:G57" si="4">IF($C49="",0,IF($C49=0,0,F49/$C49))</f>
        <v>0.11387910593003273</v>
      </c>
      <c r="H49" s="538">
        <f>SUM(H50:H52)</f>
        <v>0</v>
      </c>
    </row>
    <row r="50" spans="1:256" ht="13" x14ac:dyDescent="0.3">
      <c r="A50" s="535" t="s">
        <v>514</v>
      </c>
      <c r="B50" s="532">
        <v>3782849.25</v>
      </c>
      <c r="C50" s="532">
        <v>3809656.65</v>
      </c>
      <c r="D50" s="532">
        <v>858893.12</v>
      </c>
      <c r="E50" s="45">
        <f t="shared" si="3"/>
        <v>0.22545158236241578</v>
      </c>
      <c r="F50" s="557">
        <v>858893.12</v>
      </c>
      <c r="G50" s="352">
        <f t="shared" si="4"/>
        <v>0.22545158236241578</v>
      </c>
      <c r="H50" s="529"/>
    </row>
    <row r="51" spans="1:256" ht="13" x14ac:dyDescent="0.3">
      <c r="A51" s="535" t="s">
        <v>839</v>
      </c>
      <c r="B51" s="532"/>
      <c r="C51" s="532"/>
      <c r="D51" s="532"/>
      <c r="E51" s="45">
        <f t="shared" si="3"/>
        <v>0</v>
      </c>
      <c r="F51" s="558"/>
      <c r="G51" s="352">
        <f t="shared" si="4"/>
        <v>0</v>
      </c>
      <c r="H51" s="529"/>
    </row>
    <row r="52" spans="1:256" ht="13" x14ac:dyDescent="0.3">
      <c r="A52" s="535" t="s">
        <v>516</v>
      </c>
      <c r="B52" s="532">
        <v>3635104</v>
      </c>
      <c r="C52" s="532">
        <v>3732491.78</v>
      </c>
      <c r="D52" s="532">
        <v>327236.87</v>
      </c>
      <c r="E52" s="45">
        <f t="shared" si="3"/>
        <v>8.7672495825295571E-2</v>
      </c>
      <c r="F52" s="558"/>
      <c r="G52" s="352">
        <f t="shared" si="4"/>
        <v>0</v>
      </c>
      <c r="H52" s="529"/>
    </row>
    <row r="53" spans="1:256" ht="13" x14ac:dyDescent="0.3">
      <c r="A53" s="535" t="s">
        <v>745</v>
      </c>
      <c r="B53" s="526">
        <f>SUM(B54:B56)</f>
        <v>1459741.5</v>
      </c>
      <c r="C53" s="526">
        <f>SUM(C54:C56)</f>
        <v>1459741.5</v>
      </c>
      <c r="D53" s="526">
        <f>SUM(D54:D56)</f>
        <v>0</v>
      </c>
      <c r="E53" s="45">
        <f t="shared" si="3"/>
        <v>0</v>
      </c>
      <c r="F53" s="559">
        <f>SUM(F54:F56)</f>
        <v>0</v>
      </c>
      <c r="G53" s="352">
        <f t="shared" si="4"/>
        <v>0</v>
      </c>
      <c r="H53" s="560">
        <f>SUM(H54:H56)</f>
        <v>0</v>
      </c>
    </row>
    <row r="54" spans="1:256" ht="13" x14ac:dyDescent="0.3">
      <c r="A54" s="518" t="s">
        <v>840</v>
      </c>
      <c r="B54" s="532">
        <v>1459741.5</v>
      </c>
      <c r="C54" s="561">
        <v>1459741.5</v>
      </c>
      <c r="D54" s="530"/>
      <c r="E54" s="45">
        <f t="shared" si="3"/>
        <v>0</v>
      </c>
      <c r="F54" s="562"/>
      <c r="G54" s="352">
        <f t="shared" si="4"/>
        <v>0</v>
      </c>
      <c r="H54" s="563"/>
    </row>
    <row r="55" spans="1:256" ht="13" x14ac:dyDescent="0.3">
      <c r="A55" s="518" t="s">
        <v>520</v>
      </c>
      <c r="B55" s="532"/>
      <c r="C55" s="561"/>
      <c r="D55" s="530"/>
      <c r="E55" s="45">
        <f t="shared" si="3"/>
        <v>0</v>
      </c>
      <c r="F55" s="562"/>
      <c r="G55" s="352">
        <f t="shared" si="4"/>
        <v>0</v>
      </c>
      <c r="H55" s="563"/>
    </row>
    <row r="56" spans="1:256" ht="13" x14ac:dyDescent="0.3">
      <c r="A56" s="518" t="s">
        <v>841</v>
      </c>
      <c r="B56" s="532"/>
      <c r="C56" s="561"/>
      <c r="D56" s="530"/>
      <c r="E56" s="119">
        <f t="shared" si="3"/>
        <v>0</v>
      </c>
      <c r="F56" s="562"/>
      <c r="G56" s="352">
        <f t="shared" si="4"/>
        <v>0</v>
      </c>
      <c r="H56" s="564"/>
    </row>
    <row r="57" spans="1:256" ht="13" x14ac:dyDescent="0.3">
      <c r="A57" s="565" t="s">
        <v>842</v>
      </c>
      <c r="B57" s="566">
        <f>B49+B53</f>
        <v>8877694.75</v>
      </c>
      <c r="C57" s="566">
        <f>C49+C53</f>
        <v>9001889.9299999997</v>
      </c>
      <c r="D57" s="566">
        <f>D49+D53</f>
        <v>1186129.99</v>
      </c>
      <c r="E57" s="385">
        <f t="shared" si="3"/>
        <v>0.13176455158011469</v>
      </c>
      <c r="F57" s="566">
        <f>F49+F53</f>
        <v>858893.12</v>
      </c>
      <c r="G57" s="385">
        <f t="shared" si="4"/>
        <v>9.5412532999056568E-2</v>
      </c>
      <c r="H57" s="567">
        <f>H49+H53</f>
        <v>0</v>
      </c>
      <c r="IR57" s="568"/>
      <c r="IS57" s="568"/>
      <c r="IT57" s="568"/>
      <c r="IU57" s="325" t="s">
        <v>843</v>
      </c>
      <c r="IV57" s="311">
        <f>IF($A$7=$IV$12,IF(D57&lt;&gt;(F57+H57),0,1),1)</f>
        <v>1</v>
      </c>
    </row>
    <row r="58" spans="1:256" ht="15" x14ac:dyDescent="0.25">
      <c r="A58" s="1060" t="str">
        <f>IF(IV57=0,"O total das DESPESAS EMPENHADAS deve ser igual ao somatório das DESPESAS LIQUIDADAS e Inscritas em Restos a Pagar não Processados. Verifique os valores acima!!!","")</f>
        <v/>
      </c>
      <c r="B58" s="1060"/>
      <c r="C58" s="1060"/>
      <c r="D58" s="1060"/>
      <c r="E58" s="1060"/>
      <c r="F58" s="1060"/>
      <c r="G58" s="1060"/>
      <c r="H58" s="1060"/>
      <c r="IT58" s="569"/>
    </row>
    <row r="59" spans="1:256" ht="15.65" customHeight="1" x14ac:dyDescent="0.25">
      <c r="A59" s="1064" t="s">
        <v>844</v>
      </c>
      <c r="B59" s="1042" t="s">
        <v>119</v>
      </c>
      <c r="C59" s="1042" t="s">
        <v>120</v>
      </c>
      <c r="D59" s="1065" t="s">
        <v>121</v>
      </c>
      <c r="E59" s="1065"/>
      <c r="F59" s="1065" t="s">
        <v>122</v>
      </c>
      <c r="G59" s="1065"/>
      <c r="H59" s="1044" t="s">
        <v>834</v>
      </c>
    </row>
    <row r="60" spans="1:256" ht="15.65" customHeight="1" x14ac:dyDescent="0.25">
      <c r="A60" s="1064"/>
      <c r="B60" s="1042"/>
      <c r="C60" s="1042"/>
      <c r="D60" s="548" t="s">
        <v>40</v>
      </c>
      <c r="E60" s="549" t="s">
        <v>39</v>
      </c>
      <c r="F60" s="548" t="s">
        <v>40</v>
      </c>
      <c r="G60" s="549" t="s">
        <v>39</v>
      </c>
      <c r="H60" s="1044"/>
    </row>
    <row r="61" spans="1:256" ht="15.65" customHeight="1" x14ac:dyDescent="0.25">
      <c r="A61" s="1064"/>
      <c r="B61" s="1042"/>
      <c r="C61" s="1042"/>
      <c r="D61" s="552" t="s">
        <v>130</v>
      </c>
      <c r="E61" s="570" t="s">
        <v>845</v>
      </c>
      <c r="F61" s="552" t="s">
        <v>621</v>
      </c>
      <c r="G61" s="570" t="s">
        <v>846</v>
      </c>
      <c r="H61" s="1044"/>
    </row>
    <row r="62" spans="1:256" ht="13" x14ac:dyDescent="0.3">
      <c r="A62" s="571" t="s">
        <v>847</v>
      </c>
      <c r="B62" s="572"/>
      <c r="C62" s="573"/>
      <c r="D62" s="561"/>
      <c r="E62" s="379">
        <f t="shared" ref="E62:E72" si="5">IF($D$57="",0,IF($D$57=0,0,D62/$D$57))</f>
        <v>0</v>
      </c>
      <c r="F62" s="562"/>
      <c r="G62" s="379">
        <f t="shared" ref="G62:G72" si="6">IF($F$57="",0,IF($F$57=0,0,F62/$F$57))</f>
        <v>0</v>
      </c>
      <c r="H62" s="563"/>
    </row>
    <row r="63" spans="1:256" ht="13" x14ac:dyDescent="0.3">
      <c r="A63" s="574" t="s">
        <v>848</v>
      </c>
      <c r="B63" s="575"/>
      <c r="C63" s="576"/>
      <c r="D63" s="561"/>
      <c r="E63" s="45">
        <f t="shared" si="5"/>
        <v>0</v>
      </c>
      <c r="F63" s="577"/>
      <c r="G63" s="45">
        <f t="shared" si="6"/>
        <v>0</v>
      </c>
      <c r="H63" s="563"/>
    </row>
    <row r="64" spans="1:256" ht="13" x14ac:dyDescent="0.3">
      <c r="A64" s="574" t="s">
        <v>849</v>
      </c>
      <c r="B64" s="578">
        <f>SUM(B65:B67)</f>
        <v>0</v>
      </c>
      <c r="C64" s="578">
        <f>SUM(C65:C67)</f>
        <v>0</v>
      </c>
      <c r="D64" s="578">
        <f>SUM(D65:D67)</f>
        <v>0</v>
      </c>
      <c r="E64" s="45">
        <f t="shared" si="5"/>
        <v>0</v>
      </c>
      <c r="F64" s="578">
        <f>SUM(F65:F67)</f>
        <v>0</v>
      </c>
      <c r="G64" s="45">
        <f t="shared" si="6"/>
        <v>0</v>
      </c>
      <c r="H64" s="579">
        <f>SUM(H65:H67)</f>
        <v>0</v>
      </c>
    </row>
    <row r="65" spans="1:256" ht="13" x14ac:dyDescent="0.3">
      <c r="A65" s="580" t="s">
        <v>850</v>
      </c>
      <c r="B65" s="581"/>
      <c r="C65" s="581"/>
      <c r="D65" s="581"/>
      <c r="E65" s="45">
        <f t="shared" si="5"/>
        <v>0</v>
      </c>
      <c r="F65" s="577"/>
      <c r="G65" s="45">
        <f t="shared" si="6"/>
        <v>0</v>
      </c>
      <c r="H65" s="563"/>
    </row>
    <row r="66" spans="1:256" ht="13" x14ac:dyDescent="0.3">
      <c r="A66" s="580" t="s">
        <v>851</v>
      </c>
      <c r="B66" s="529"/>
      <c r="C66" s="529"/>
      <c r="D66" s="561"/>
      <c r="E66" s="45">
        <f t="shared" si="5"/>
        <v>0</v>
      </c>
      <c r="F66" s="577"/>
      <c r="G66" s="45">
        <f t="shared" si="6"/>
        <v>0</v>
      </c>
      <c r="H66" s="563"/>
    </row>
    <row r="67" spans="1:256" ht="13" x14ac:dyDescent="0.3">
      <c r="A67" s="582" t="s">
        <v>852</v>
      </c>
      <c r="B67" s="529"/>
      <c r="C67" s="529"/>
      <c r="D67" s="529"/>
      <c r="E67" s="45">
        <f t="shared" si="5"/>
        <v>0</v>
      </c>
      <c r="F67" s="583"/>
      <c r="G67" s="45">
        <f t="shared" si="6"/>
        <v>0</v>
      </c>
      <c r="H67" s="563"/>
    </row>
    <row r="68" spans="1:256" ht="13" x14ac:dyDescent="0.3">
      <c r="A68" s="584" t="s">
        <v>853</v>
      </c>
      <c r="B68" s="529"/>
      <c r="C68" s="529"/>
      <c r="D68" s="529"/>
      <c r="E68" s="45">
        <f t="shared" si="5"/>
        <v>0</v>
      </c>
      <c r="F68" s="583"/>
      <c r="G68" s="45">
        <f t="shared" si="6"/>
        <v>0</v>
      </c>
      <c r="H68" s="563"/>
    </row>
    <row r="69" spans="1:256" ht="13" x14ac:dyDescent="0.3">
      <c r="A69" s="585" t="s">
        <v>854</v>
      </c>
      <c r="B69" s="586"/>
      <c r="C69" s="586"/>
      <c r="D69" s="529"/>
      <c r="E69" s="45">
        <f t="shared" si="5"/>
        <v>0</v>
      </c>
      <c r="F69" s="587"/>
      <c r="G69" s="45">
        <f t="shared" si="6"/>
        <v>0</v>
      </c>
      <c r="H69" s="563"/>
    </row>
    <row r="70" spans="1:256" ht="13" x14ac:dyDescent="0.3">
      <c r="A70" s="588" t="s">
        <v>855</v>
      </c>
      <c r="B70" s="529"/>
      <c r="C70" s="529"/>
      <c r="D70" s="529"/>
      <c r="E70" s="45">
        <f t="shared" si="5"/>
        <v>0</v>
      </c>
      <c r="F70" s="583"/>
      <c r="G70" s="45">
        <f t="shared" si="6"/>
        <v>0</v>
      </c>
      <c r="H70" s="563"/>
    </row>
    <row r="71" spans="1:256" ht="24" customHeight="1" x14ac:dyDescent="0.3">
      <c r="A71" s="589" t="s">
        <v>856</v>
      </c>
      <c r="B71" s="529"/>
      <c r="C71" s="529"/>
      <c r="D71" s="529"/>
      <c r="E71" s="119">
        <f t="shared" si="5"/>
        <v>0</v>
      </c>
      <c r="F71" s="583"/>
      <c r="G71" s="119">
        <f t="shared" si="6"/>
        <v>0</v>
      </c>
      <c r="H71" s="564"/>
    </row>
    <row r="72" spans="1:256" ht="13" x14ac:dyDescent="0.3">
      <c r="A72" s="590" t="s">
        <v>857</v>
      </c>
      <c r="B72" s="567">
        <f>SUM(B62:B64,B68:B71)</f>
        <v>0</v>
      </c>
      <c r="C72" s="567">
        <f>SUM(C62:C64,C68:C71)</f>
        <v>0</v>
      </c>
      <c r="D72" s="567">
        <f>SUM(D62:D64,D68:D71)</f>
        <v>0</v>
      </c>
      <c r="E72" s="385">
        <f t="shared" si="5"/>
        <v>0</v>
      </c>
      <c r="F72" s="567">
        <f>SUM(F62:F64,F68:F71)</f>
        <v>0</v>
      </c>
      <c r="G72" s="385">
        <f t="shared" si="6"/>
        <v>0</v>
      </c>
      <c r="H72" s="567">
        <f>SUM(H62:H64,H68:H71)</f>
        <v>0</v>
      </c>
      <c r="IR72" s="568"/>
      <c r="IS72" s="568"/>
      <c r="IT72" s="568"/>
      <c r="IU72" s="325" t="s">
        <v>843</v>
      </c>
      <c r="IV72" s="311">
        <f>IF($A$7=$IV$12,IF(D72&lt;&gt;(F72+H72),0,1),1)</f>
        <v>1</v>
      </c>
    </row>
    <row r="73" spans="1:256" ht="15" x14ac:dyDescent="0.25">
      <c r="A73" s="1060" t="str">
        <f>IF(IV72=0,"O total das DESPESAS EMPENHADAS deve ser igual ao somatório das DESPESAS LIQUIDADAS e Inscritas em Restos a Pagar não Processados. Verifique os valores acima!!!","")</f>
        <v/>
      </c>
      <c r="B73" s="1060"/>
      <c r="C73" s="1060"/>
      <c r="D73" s="1060"/>
      <c r="E73" s="1060"/>
      <c r="F73" s="1060"/>
      <c r="G73" s="1060"/>
      <c r="H73" s="1060"/>
      <c r="IT73" s="569"/>
    </row>
    <row r="74" spans="1:256" x14ac:dyDescent="0.25">
      <c r="A74" s="591" t="s">
        <v>858</v>
      </c>
      <c r="B74" s="592">
        <f>B57-B72</f>
        <v>8877694.75</v>
      </c>
      <c r="C74" s="592">
        <f>C57-C72</f>
        <v>9001889.9299999997</v>
      </c>
      <c r="D74" s="592">
        <f>D57-D72</f>
        <v>1186129.99</v>
      </c>
      <c r="E74" s="593"/>
      <c r="F74" s="592">
        <f>F57-F72</f>
        <v>858893.12</v>
      </c>
      <c r="G74" s="593"/>
      <c r="H74" s="592">
        <f>H57-H72</f>
        <v>0</v>
      </c>
    </row>
    <row r="75" spans="1:256" ht="15" customHeight="1" x14ac:dyDescent="0.25">
      <c r="A75" s="594"/>
      <c r="B75" s="554"/>
      <c r="C75" s="595"/>
      <c r="D75" s="535"/>
      <c r="E75" s="535"/>
      <c r="F75" s="517"/>
      <c r="G75" s="596"/>
      <c r="H75" s="597"/>
    </row>
    <row r="76" spans="1:256" ht="24.75" customHeight="1" x14ac:dyDescent="0.25">
      <c r="A76" s="1061" t="s">
        <v>859</v>
      </c>
      <c r="B76" s="1061"/>
      <c r="C76" s="1061"/>
      <c r="D76" s="1061"/>
      <c r="E76" s="1062">
        <f>IF(IV76=3,IF(D$31="",0,IF(D$31=0,0,IF(A$7=IV$12,D$74/D$31,F$74/D$31))),IF(IV76=4,"Verifique o preenchimento da planilha INFORMAÇÕES INICIAIS","HÁ ERROS ACIMA. VERIFIQUE!!!"))</f>
        <v>0.20985540067651726</v>
      </c>
      <c r="F76" s="1062"/>
      <c r="G76" s="1062"/>
      <c r="H76" s="1062"/>
      <c r="IU76" s="325" t="s">
        <v>860</v>
      </c>
      <c r="IV76" s="311">
        <f>+IV72+IV57+IT13+IV14</f>
        <v>3</v>
      </c>
    </row>
    <row r="77" spans="1:256" ht="13.5" customHeight="1" x14ac:dyDescent="0.25">
      <c r="A77" s="591"/>
      <c r="B77" s="591"/>
      <c r="C77" s="591"/>
      <c r="D77" s="591"/>
      <c r="E77" s="537"/>
      <c r="F77" s="546"/>
      <c r="G77" s="598"/>
      <c r="H77" s="599"/>
    </row>
    <row r="78" spans="1:256" ht="17.25" customHeight="1" x14ac:dyDescent="0.25">
      <c r="A78" s="1061" t="s">
        <v>861</v>
      </c>
      <c r="B78" s="1061"/>
      <c r="C78" s="1061"/>
      <c r="D78" s="1061"/>
      <c r="E78" s="1063">
        <f>IF(D$31="",0,IF(D$31=0,0,IF(A$7=IV$12,D$74-D$31*0.15,F$74-D$31*0.15)))</f>
        <v>244975.30999999994</v>
      </c>
      <c r="F78" s="1063"/>
      <c r="G78" s="1063"/>
      <c r="H78" s="1063"/>
    </row>
    <row r="79" spans="1:256" ht="17.25" customHeight="1" x14ac:dyDescent="0.25">
      <c r="A79" s="600"/>
      <c r="B79" s="600"/>
      <c r="C79" s="600"/>
      <c r="D79" s="600"/>
      <c r="E79" s="537"/>
      <c r="F79" s="546"/>
      <c r="G79" s="596"/>
      <c r="H79" s="597"/>
    </row>
    <row r="80" spans="1:256" ht="11.25" customHeight="1" x14ac:dyDescent="0.25">
      <c r="A80" s="1042" t="s">
        <v>862</v>
      </c>
      <c r="B80" s="1042"/>
      <c r="C80" s="1050" t="s">
        <v>863</v>
      </c>
      <c r="D80" s="1042" t="s">
        <v>864</v>
      </c>
      <c r="E80" s="1042" t="s">
        <v>865</v>
      </c>
      <c r="F80" s="1042" t="s">
        <v>866</v>
      </c>
      <c r="G80" s="1050" t="s">
        <v>867</v>
      </c>
      <c r="H80" s="1050"/>
    </row>
    <row r="81" spans="1:8" ht="23.25" customHeight="1" x14ac:dyDescent="0.25">
      <c r="A81" s="1042"/>
      <c r="B81" s="1042"/>
      <c r="C81" s="1050"/>
      <c r="D81" s="1042"/>
      <c r="E81" s="1042"/>
      <c r="F81" s="1042"/>
      <c r="G81" s="1050"/>
      <c r="H81" s="1050"/>
    </row>
    <row r="82" spans="1:8" ht="15" customHeight="1" x14ac:dyDescent="0.25">
      <c r="A82" s="1057" t="s">
        <v>868</v>
      </c>
      <c r="B82" s="1057"/>
      <c r="C82" s="601"/>
      <c r="D82" s="602"/>
      <c r="E82" s="603"/>
      <c r="F82" s="604"/>
      <c r="G82" s="1058"/>
      <c r="H82" s="1058"/>
    </row>
    <row r="83" spans="1:8" ht="12" customHeight="1" x14ac:dyDescent="0.25">
      <c r="A83" s="1059" t="s">
        <v>869</v>
      </c>
      <c r="B83" s="1059"/>
      <c r="C83" s="606"/>
      <c r="D83" s="607"/>
      <c r="E83" s="532"/>
      <c r="F83" s="558"/>
      <c r="G83" s="1053"/>
      <c r="H83" s="1053"/>
    </row>
    <row r="84" spans="1:8" ht="12" customHeight="1" x14ac:dyDescent="0.25">
      <c r="A84" s="608" t="s">
        <v>870</v>
      </c>
      <c r="B84" s="605"/>
      <c r="C84" s="606"/>
      <c r="D84" s="607"/>
      <c r="E84" s="532"/>
      <c r="F84" s="558"/>
      <c r="G84" s="1053"/>
      <c r="H84" s="1053"/>
    </row>
    <row r="85" spans="1:8" ht="11.25" customHeight="1" x14ac:dyDescent="0.25">
      <c r="A85" s="609" t="s">
        <v>871</v>
      </c>
      <c r="B85" s="605"/>
      <c r="C85" s="606"/>
      <c r="D85" s="607"/>
      <c r="E85" s="530"/>
      <c r="F85" s="562"/>
      <c r="G85" s="1053"/>
      <c r="H85" s="1053"/>
    </row>
    <row r="86" spans="1:8" ht="12.75" customHeight="1" x14ac:dyDescent="0.25">
      <c r="A86" s="1054" t="s">
        <v>872</v>
      </c>
      <c r="B86" s="1054"/>
      <c r="C86" s="610">
        <f>SUM(C82:C85)</f>
        <v>0</v>
      </c>
      <c r="D86" s="610">
        <f>SUM(D82:D85)</f>
        <v>0</v>
      </c>
      <c r="E86" s="610">
        <f>SUM(E82:E85)</f>
        <v>0</v>
      </c>
      <c r="F86" s="610">
        <f>SUM(F82:F85)</f>
        <v>0</v>
      </c>
      <c r="G86" s="1055">
        <f>SUM(G82:G85)</f>
        <v>0</v>
      </c>
      <c r="H86" s="1055"/>
    </row>
    <row r="87" spans="1:8" ht="12.75" customHeight="1" x14ac:dyDescent="0.25">
      <c r="A87" s="611"/>
      <c r="B87" s="535"/>
      <c r="C87" s="612"/>
      <c r="D87" s="613"/>
      <c r="E87" s="613"/>
      <c r="F87" s="596"/>
      <c r="G87" s="596"/>
      <c r="H87" s="597"/>
    </row>
    <row r="88" spans="1:8" ht="12.75" customHeight="1" x14ac:dyDescent="0.25">
      <c r="A88" s="1049" t="s">
        <v>873</v>
      </c>
      <c r="B88" s="1049"/>
      <c r="C88" s="1052" t="s">
        <v>874</v>
      </c>
      <c r="D88" s="1052"/>
      <c r="E88" s="1052"/>
      <c r="F88" s="1052"/>
      <c r="G88" s="1052"/>
      <c r="H88" s="1052"/>
    </row>
    <row r="89" spans="1:8" ht="15.75" customHeight="1" x14ac:dyDescent="0.25">
      <c r="A89" s="1049"/>
      <c r="B89" s="1049"/>
      <c r="C89" s="1052"/>
      <c r="D89" s="1052"/>
      <c r="E89" s="1052"/>
      <c r="F89" s="1052"/>
      <c r="G89" s="1052"/>
      <c r="H89" s="1052"/>
    </row>
    <row r="90" spans="1:8" ht="14.25" customHeight="1" x14ac:dyDescent="0.25">
      <c r="A90" s="1049"/>
      <c r="B90" s="1049"/>
      <c r="C90" s="1042" t="s">
        <v>875</v>
      </c>
      <c r="D90" s="1042"/>
      <c r="E90" s="1056" t="s">
        <v>876</v>
      </c>
      <c r="F90" s="1056"/>
      <c r="G90" s="1050" t="s">
        <v>877</v>
      </c>
      <c r="H90" s="1050"/>
    </row>
    <row r="91" spans="1:8" ht="13.5" customHeight="1" x14ac:dyDescent="0.25">
      <c r="A91" s="1049"/>
      <c r="B91" s="1049"/>
      <c r="C91" s="1042"/>
      <c r="D91" s="1042"/>
      <c r="E91" s="1056"/>
      <c r="F91" s="1056"/>
      <c r="G91" s="1050"/>
      <c r="H91" s="1050"/>
    </row>
    <row r="92" spans="1:8" ht="12" customHeight="1" x14ac:dyDescent="0.25">
      <c r="A92" s="1049"/>
      <c r="B92" s="1049"/>
      <c r="C92" s="1042"/>
      <c r="D92" s="1042"/>
      <c r="E92" s="1052" t="s">
        <v>132</v>
      </c>
      <c r="F92" s="1052"/>
      <c r="G92" s="1050"/>
      <c r="H92" s="1050"/>
    </row>
    <row r="93" spans="1:8" ht="13.5" customHeight="1" x14ac:dyDescent="0.25">
      <c r="A93" s="614" t="s">
        <v>878</v>
      </c>
      <c r="B93" s="615"/>
      <c r="C93" s="1047"/>
      <c r="D93" s="1047"/>
      <c r="E93" s="1047"/>
      <c r="F93" s="1047"/>
      <c r="G93" s="1047"/>
      <c r="H93" s="1047"/>
    </row>
    <row r="94" spans="1:8" ht="13.5" customHeight="1" x14ac:dyDescent="0.25">
      <c r="A94" s="616" t="s">
        <v>869</v>
      </c>
      <c r="B94" s="617"/>
      <c r="C94" s="1045"/>
      <c r="D94" s="1045"/>
      <c r="E94" s="1045"/>
      <c r="F94" s="1045"/>
      <c r="G94" s="1045"/>
      <c r="H94" s="1045"/>
    </row>
    <row r="95" spans="1:8" ht="13.5" customHeight="1" x14ac:dyDescent="0.25">
      <c r="A95" s="616" t="s">
        <v>879</v>
      </c>
      <c r="B95" s="617"/>
      <c r="C95" s="1045"/>
      <c r="D95" s="1045"/>
      <c r="E95" s="1045"/>
      <c r="F95" s="1045"/>
      <c r="G95" s="1045"/>
      <c r="H95" s="1045"/>
    </row>
    <row r="96" spans="1:8" ht="27" customHeight="1" x14ac:dyDescent="0.25">
      <c r="A96" s="616" t="s">
        <v>880</v>
      </c>
      <c r="B96" s="617"/>
      <c r="C96" s="1045"/>
      <c r="D96" s="1045"/>
      <c r="E96" s="1045"/>
      <c r="F96" s="1045"/>
      <c r="G96" s="1045"/>
      <c r="H96" s="1045"/>
    </row>
    <row r="97" spans="1:8" ht="13.5" customHeight="1" x14ac:dyDescent="0.25">
      <c r="A97" s="618" t="s">
        <v>881</v>
      </c>
      <c r="B97" s="619"/>
      <c r="C97" s="1041">
        <f>SUM(C93:D96)</f>
        <v>0</v>
      </c>
      <c r="D97" s="1041"/>
      <c r="E97" s="1041">
        <f>SUM(E93:F96)</f>
        <v>0</v>
      </c>
      <c r="F97" s="1041"/>
      <c r="G97" s="1041">
        <f>SUM(G93:H96)</f>
        <v>0</v>
      </c>
      <c r="H97" s="1041"/>
    </row>
    <row r="98" spans="1:8" ht="12.75" customHeight="1" x14ac:dyDescent="0.25">
      <c r="A98" s="535"/>
      <c r="B98" s="535"/>
      <c r="C98" s="613"/>
      <c r="D98" s="613"/>
      <c r="E98" s="613"/>
      <c r="F98" s="596"/>
      <c r="G98" s="596"/>
      <c r="H98" s="597"/>
    </row>
    <row r="99" spans="1:8" ht="12.75" customHeight="1" x14ac:dyDescent="0.25">
      <c r="A99" s="1049" t="s">
        <v>882</v>
      </c>
      <c r="B99" s="1049"/>
      <c r="C99" s="1050" t="s">
        <v>883</v>
      </c>
      <c r="D99" s="1050"/>
      <c r="E99" s="1050"/>
      <c r="F99" s="1050"/>
      <c r="G99" s="1050"/>
      <c r="H99" s="1050"/>
    </row>
    <row r="100" spans="1:8" ht="15.75" customHeight="1" x14ac:dyDescent="0.25">
      <c r="A100" s="1049"/>
      <c r="B100" s="1049"/>
      <c r="C100" s="1050"/>
      <c r="D100" s="1050"/>
      <c r="E100" s="1050"/>
      <c r="F100" s="1050"/>
      <c r="G100" s="1050"/>
      <c r="H100" s="1050"/>
    </row>
    <row r="101" spans="1:8" ht="15" customHeight="1" x14ac:dyDescent="0.25">
      <c r="A101" s="1049"/>
      <c r="B101" s="1049"/>
      <c r="C101" s="1042" t="s">
        <v>875</v>
      </c>
      <c r="D101" s="1042"/>
      <c r="E101" s="1051" t="s">
        <v>876</v>
      </c>
      <c r="F101" s="1051"/>
      <c r="G101" s="1050" t="s">
        <v>877</v>
      </c>
      <c r="H101" s="1050"/>
    </row>
    <row r="102" spans="1:8" x14ac:dyDescent="0.25">
      <c r="A102" s="1049"/>
      <c r="B102" s="1049"/>
      <c r="C102" s="1042"/>
      <c r="D102" s="1042"/>
      <c r="E102" s="1051"/>
      <c r="F102" s="1051"/>
      <c r="G102" s="1050"/>
      <c r="H102" s="1050"/>
    </row>
    <row r="103" spans="1:8" ht="12.75" customHeight="1" x14ac:dyDescent="0.25">
      <c r="A103" s="1049"/>
      <c r="B103" s="1049"/>
      <c r="C103" s="1042"/>
      <c r="D103" s="1042"/>
      <c r="E103" s="1052" t="s">
        <v>133</v>
      </c>
      <c r="F103" s="1052"/>
      <c r="G103" s="1050"/>
      <c r="H103" s="1050"/>
    </row>
    <row r="104" spans="1:8" x14ac:dyDescent="0.25">
      <c r="A104" s="614" t="s">
        <v>884</v>
      </c>
      <c r="B104" s="620"/>
      <c r="C104" s="1047"/>
      <c r="D104" s="1047"/>
      <c r="E104" s="1048"/>
      <c r="F104" s="1048"/>
      <c r="G104" s="1048"/>
      <c r="H104" s="1048"/>
    </row>
    <row r="105" spans="1:8" x14ac:dyDescent="0.25">
      <c r="A105" s="616" t="s">
        <v>869</v>
      </c>
      <c r="B105" s="621"/>
      <c r="C105" s="1045"/>
      <c r="D105" s="1045"/>
      <c r="E105" s="1046"/>
      <c r="F105" s="1046"/>
      <c r="G105" s="1046"/>
      <c r="H105" s="1046"/>
    </row>
    <row r="106" spans="1:8" x14ac:dyDescent="0.25">
      <c r="A106" s="616" t="s">
        <v>885</v>
      </c>
      <c r="B106" s="621"/>
      <c r="C106" s="1045"/>
      <c r="D106" s="1045"/>
      <c r="E106" s="1046"/>
      <c r="F106" s="1046"/>
      <c r="G106" s="1046"/>
      <c r="H106" s="1046"/>
    </row>
    <row r="107" spans="1:8" ht="25.15" customHeight="1" x14ac:dyDescent="0.25">
      <c r="A107" s="616" t="s">
        <v>886</v>
      </c>
      <c r="B107" s="621"/>
      <c r="C107" s="1045"/>
      <c r="D107" s="1045"/>
      <c r="E107" s="1046"/>
      <c r="F107" s="1046"/>
      <c r="G107" s="1046"/>
      <c r="H107" s="1046"/>
    </row>
    <row r="108" spans="1:8" ht="12.75" customHeight="1" x14ac:dyDescent="0.25">
      <c r="A108" s="1040" t="s">
        <v>887</v>
      </c>
      <c r="B108" s="1040"/>
      <c r="C108" s="1041">
        <f>SUM(C104:D107)</f>
        <v>0</v>
      </c>
      <c r="D108" s="1041"/>
      <c r="E108" s="1041">
        <f>SUM(E104:F107)</f>
        <v>0</v>
      </c>
      <c r="F108" s="1041"/>
      <c r="G108" s="1041">
        <f>SUM(G104:H107)</f>
        <v>0</v>
      </c>
      <c r="H108" s="1041"/>
    </row>
    <row r="109" spans="1:8" x14ac:dyDescent="0.25">
      <c r="A109" s="535"/>
      <c r="B109" s="622"/>
      <c r="C109" s="613"/>
      <c r="D109" s="535"/>
      <c r="E109" s="535"/>
      <c r="F109" s="517"/>
      <c r="G109" s="517"/>
    </row>
    <row r="110" spans="1:8" ht="12.75" customHeight="1" x14ac:dyDescent="0.25">
      <c r="A110" s="623" t="s">
        <v>833</v>
      </c>
      <c r="B110" s="1042" t="s">
        <v>119</v>
      </c>
      <c r="C110" s="1042" t="s">
        <v>120</v>
      </c>
      <c r="D110" s="1043" t="s">
        <v>121</v>
      </c>
      <c r="E110" s="1043"/>
      <c r="F110" s="1043" t="s">
        <v>122</v>
      </c>
      <c r="G110" s="1043"/>
      <c r="H110" s="1044" t="s">
        <v>834</v>
      </c>
    </row>
    <row r="111" spans="1:8" x14ac:dyDescent="0.25">
      <c r="A111" s="624" t="s">
        <v>888</v>
      </c>
      <c r="B111" s="1042"/>
      <c r="C111" s="1042"/>
      <c r="D111" s="522" t="s">
        <v>40</v>
      </c>
      <c r="E111" s="625" t="s">
        <v>39</v>
      </c>
      <c r="F111" s="522" t="s">
        <v>40</v>
      </c>
      <c r="G111" s="625" t="s">
        <v>39</v>
      </c>
      <c r="H111" s="1044"/>
    </row>
    <row r="112" spans="1:8" ht="21.75" customHeight="1" x14ac:dyDescent="0.25">
      <c r="A112" s="550"/>
      <c r="B112" s="1042"/>
      <c r="C112" s="1042"/>
      <c r="D112" s="552" t="s">
        <v>889</v>
      </c>
      <c r="E112" s="626" t="s">
        <v>890</v>
      </c>
      <c r="F112" s="552" t="s">
        <v>891</v>
      </c>
      <c r="G112" s="626" t="s">
        <v>892</v>
      </c>
      <c r="H112" s="1044"/>
    </row>
    <row r="113" spans="1:8" ht="13" x14ac:dyDescent="0.3">
      <c r="A113" s="535" t="s">
        <v>222</v>
      </c>
      <c r="B113" s="532">
        <v>3783206.75</v>
      </c>
      <c r="C113" s="532">
        <v>3783206.75</v>
      </c>
      <c r="D113" s="530">
        <v>339538.51</v>
      </c>
      <c r="E113" s="45">
        <f t="shared" ref="E113:E119" si="7">IF($D$120="",0,IF($D$120=0,0,D113/$D$120))</f>
        <v>0.28625741939127602</v>
      </c>
      <c r="F113" s="530"/>
      <c r="G113" s="45">
        <f t="shared" ref="G113:G119" si="8">IF($F$120="",0,IF($F$120=0,0,F113/$F$120))</f>
        <v>0</v>
      </c>
      <c r="H113" s="627"/>
    </row>
    <row r="114" spans="1:8" ht="13" x14ac:dyDescent="0.3">
      <c r="A114" s="535" t="s">
        <v>223</v>
      </c>
      <c r="B114" s="532">
        <v>2819738.5</v>
      </c>
      <c r="C114" s="532">
        <v>2944933.68</v>
      </c>
      <c r="D114" s="530">
        <v>682329.82</v>
      </c>
      <c r="E114" s="45">
        <f t="shared" si="7"/>
        <v>0.57525720262751301</v>
      </c>
      <c r="F114" s="577"/>
      <c r="G114" s="45">
        <f t="shared" si="8"/>
        <v>0</v>
      </c>
      <c r="H114" s="563"/>
    </row>
    <row r="115" spans="1:8" ht="13" x14ac:dyDescent="0.3">
      <c r="A115" s="535" t="s">
        <v>224</v>
      </c>
      <c r="B115" s="532"/>
      <c r="C115" s="532"/>
      <c r="D115" s="530"/>
      <c r="E115" s="45">
        <f t="shared" si="7"/>
        <v>0</v>
      </c>
      <c r="F115" s="577"/>
      <c r="G115" s="45">
        <f t="shared" si="8"/>
        <v>0</v>
      </c>
      <c r="H115" s="563"/>
    </row>
    <row r="116" spans="1:8" ht="13" x14ac:dyDescent="0.3">
      <c r="A116" s="535" t="s">
        <v>225</v>
      </c>
      <c r="B116" s="532">
        <v>354052.25</v>
      </c>
      <c r="C116" s="532">
        <v>354052.25</v>
      </c>
      <c r="D116" s="530"/>
      <c r="E116" s="45">
        <f t="shared" si="7"/>
        <v>0</v>
      </c>
      <c r="F116" s="577"/>
      <c r="G116" s="45">
        <f t="shared" si="8"/>
        <v>0</v>
      </c>
      <c r="H116" s="563"/>
    </row>
    <row r="117" spans="1:8" ht="13" x14ac:dyDescent="0.3">
      <c r="A117" s="535" t="s">
        <v>226</v>
      </c>
      <c r="B117" s="532">
        <v>248497.75</v>
      </c>
      <c r="C117" s="532">
        <v>248497.75</v>
      </c>
      <c r="D117" s="530"/>
      <c r="E117" s="45">
        <f t="shared" si="7"/>
        <v>0</v>
      </c>
      <c r="F117" s="577"/>
      <c r="G117" s="45">
        <f t="shared" si="8"/>
        <v>0</v>
      </c>
      <c r="H117" s="563"/>
    </row>
    <row r="118" spans="1:8" ht="13" x14ac:dyDescent="0.3">
      <c r="A118" s="535" t="s">
        <v>227</v>
      </c>
      <c r="B118" s="532"/>
      <c r="C118" s="532"/>
      <c r="D118" s="530"/>
      <c r="E118" s="45">
        <f t="shared" si="7"/>
        <v>0</v>
      </c>
      <c r="F118" s="577"/>
      <c r="G118" s="45">
        <f t="shared" si="8"/>
        <v>0</v>
      </c>
      <c r="H118" s="563"/>
    </row>
    <row r="119" spans="1:8" ht="13" x14ac:dyDescent="0.3">
      <c r="A119" s="613" t="s">
        <v>893</v>
      </c>
      <c r="B119" s="628">
        <v>1671199.5</v>
      </c>
      <c r="C119" s="628">
        <v>1671199.5</v>
      </c>
      <c r="D119" s="530">
        <v>164261.66</v>
      </c>
      <c r="E119" s="45">
        <f t="shared" si="7"/>
        <v>0.13848537798121099</v>
      </c>
      <c r="F119" s="577"/>
      <c r="G119" s="45">
        <f t="shared" si="8"/>
        <v>0</v>
      </c>
      <c r="H119" s="564"/>
    </row>
    <row r="120" spans="1:8" x14ac:dyDescent="0.25">
      <c r="A120" s="544" t="s">
        <v>894</v>
      </c>
      <c r="B120" s="545">
        <f>SUM(B113:B119)</f>
        <v>8876694.75</v>
      </c>
      <c r="C120" s="545">
        <f>SUM(C113:C119)</f>
        <v>9001889.9299999997</v>
      </c>
      <c r="D120" s="545">
        <f>SUM(D113:D119)</f>
        <v>1186129.99</v>
      </c>
      <c r="E120" s="629"/>
      <c r="F120" s="545">
        <f>SUM(F113:F119)</f>
        <v>0</v>
      </c>
      <c r="G120" s="629"/>
      <c r="H120" s="630">
        <f>SUM(H113:H119)</f>
        <v>0</v>
      </c>
    </row>
    <row r="121" spans="1:8" x14ac:dyDescent="0.25">
      <c r="A121" s="1038" t="s">
        <v>550</v>
      </c>
      <c r="B121" s="1038"/>
      <c r="C121" s="1038"/>
      <c r="D121" s="1038"/>
      <c r="E121" s="1038"/>
      <c r="F121" s="1038"/>
      <c r="G121" s="1038"/>
      <c r="H121" s="1038"/>
    </row>
    <row r="122" spans="1:8" x14ac:dyDescent="0.25">
      <c r="A122" s="535" t="s">
        <v>895</v>
      </c>
      <c r="B122" s="535"/>
      <c r="C122" s="535"/>
      <c r="D122" s="535"/>
      <c r="E122" s="535"/>
      <c r="F122" s="546"/>
      <c r="G122" s="546"/>
    </row>
    <row r="123" spans="1:8" x14ac:dyDescent="0.25">
      <c r="A123" s="631" t="s">
        <v>896</v>
      </c>
      <c r="B123" s="535"/>
      <c r="C123" s="535"/>
      <c r="D123" s="535"/>
      <c r="E123" s="535"/>
      <c r="F123" s="546"/>
      <c r="G123" s="546"/>
    </row>
    <row r="124" spans="1:8" x14ac:dyDescent="0.25">
      <c r="A124" s="631" t="s">
        <v>897</v>
      </c>
      <c r="B124" s="535"/>
      <c r="C124" s="535"/>
      <c r="D124" s="535"/>
      <c r="E124" s="535"/>
      <c r="F124" s="546"/>
      <c r="G124" s="546"/>
    </row>
    <row r="125" spans="1:8" x14ac:dyDescent="0.25">
      <c r="A125" s="632" t="s">
        <v>898</v>
      </c>
      <c r="B125" s="518"/>
      <c r="C125" s="518"/>
      <c r="D125" s="535"/>
      <c r="E125" s="535"/>
      <c r="F125" s="546"/>
      <c r="G125" s="546"/>
    </row>
    <row r="126" spans="1:8" x14ac:dyDescent="0.25">
      <c r="A126" s="632" t="s">
        <v>899</v>
      </c>
      <c r="B126" s="517"/>
      <c r="C126" s="517"/>
      <c r="D126" s="517"/>
      <c r="E126" s="517"/>
      <c r="F126" s="517"/>
      <c r="G126" s="517"/>
    </row>
    <row r="127" spans="1:8" x14ac:dyDescent="0.25">
      <c r="A127" s="631" t="s">
        <v>900</v>
      </c>
      <c r="B127" s="517"/>
      <c r="C127" s="517"/>
      <c r="D127" s="517"/>
      <c r="E127" s="517"/>
      <c r="F127" s="517"/>
      <c r="G127" s="517"/>
    </row>
    <row r="128" spans="1:8" ht="12.75" customHeight="1" x14ac:dyDescent="0.25">
      <c r="A128" s="1039" t="s">
        <v>901</v>
      </c>
      <c r="B128" s="1039"/>
      <c r="C128" s="1039"/>
    </row>
  </sheetData>
  <mergeCells count="162"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E46"/>
    <mergeCell ref="F46:G46"/>
    <mergeCell ref="H46:H48"/>
    <mergeCell ref="A58:H58"/>
    <mergeCell ref="A59:A61"/>
    <mergeCell ref="B59:B61"/>
    <mergeCell ref="C59:C61"/>
    <mergeCell ref="D59:E59"/>
    <mergeCell ref="F59:G59"/>
    <mergeCell ref="H59:H61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0:H81"/>
    <mergeCell ref="A82:B82"/>
    <mergeCell ref="G82:H82"/>
    <mergeCell ref="A83:B83"/>
    <mergeCell ref="G83:H83"/>
    <mergeCell ref="G84:H8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4:D104"/>
    <mergeCell ref="E104:F104"/>
    <mergeCell ref="G104:H104"/>
    <mergeCell ref="C105:D105"/>
    <mergeCell ref="E105:F105"/>
    <mergeCell ref="G105:H105"/>
    <mergeCell ref="H110:H112"/>
    <mergeCell ref="C106:D106"/>
    <mergeCell ref="E106:F106"/>
    <mergeCell ref="G106:H106"/>
    <mergeCell ref="C107:D107"/>
    <mergeCell ref="E107:F107"/>
    <mergeCell ref="G107:H107"/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opLeftCell="A19" zoomScale="80" zoomScaleNormal="80" workbookViewId="0">
      <selection activeCell="H14" sqref="H14"/>
    </sheetView>
  </sheetViews>
  <sheetFormatPr defaultColWidth="9.1796875" defaultRowHeight="12.5" x14ac:dyDescent="0.25"/>
  <cols>
    <col min="1" max="1" width="75.7265625" style="633" customWidth="1"/>
    <col min="2" max="2" width="14.7265625" style="633" customWidth="1"/>
    <col min="3" max="3" width="8.26953125" style="633" customWidth="1"/>
    <col min="4" max="4" width="14.7265625" style="633" customWidth="1"/>
    <col min="5" max="5" width="12.7265625" style="633" customWidth="1"/>
    <col min="6" max="6" width="14.7265625" style="633" customWidth="1"/>
    <col min="7" max="7" width="12.7265625" style="633" customWidth="1"/>
    <col min="8" max="8" width="14.7265625" style="633" customWidth="1"/>
    <col min="9" max="16384" width="9.1796875" style="633"/>
  </cols>
  <sheetData>
    <row r="1" spans="1:8" ht="15" x14ac:dyDescent="0.3">
      <c r="A1" s="634" t="s">
        <v>902</v>
      </c>
      <c r="B1" s="635"/>
      <c r="C1" s="635"/>
      <c r="D1" s="635"/>
      <c r="E1" s="635"/>
      <c r="F1" s="636"/>
      <c r="G1" s="636"/>
    </row>
    <row r="2" spans="1:8" x14ac:dyDescent="0.25">
      <c r="A2" s="637"/>
      <c r="B2" s="637"/>
      <c r="C2" s="637"/>
      <c r="D2" s="637"/>
      <c r="E2" s="637"/>
      <c r="F2" s="636"/>
      <c r="G2" s="636"/>
    </row>
    <row r="3" spans="1:8" x14ac:dyDescent="0.25">
      <c r="A3" s="1090" t="str">
        <f>+'Informações Iniciais'!A1:B1</f>
        <v>ESTADO DO MARANHÃO - PREFEITURA MUNICIPAL DE DAVINOPOLIS</v>
      </c>
      <c r="B3" s="1090"/>
      <c r="C3" s="1090"/>
      <c r="D3" s="1090"/>
      <c r="E3" s="1090"/>
      <c r="F3" s="1090"/>
      <c r="G3" s="1090"/>
    </row>
    <row r="4" spans="1:8" x14ac:dyDescent="0.25">
      <c r="A4" s="1090" t="s">
        <v>1</v>
      </c>
      <c r="B4" s="1090"/>
      <c r="C4" s="1090"/>
      <c r="D4" s="1090"/>
      <c r="E4" s="1090"/>
      <c r="F4" s="1090"/>
      <c r="G4" s="1090"/>
    </row>
    <row r="5" spans="1:8" x14ac:dyDescent="0.25">
      <c r="A5" s="1091" t="s">
        <v>799</v>
      </c>
      <c r="B5" s="1091"/>
      <c r="C5" s="1091"/>
      <c r="D5" s="1091"/>
      <c r="E5" s="1091"/>
      <c r="F5" s="1091"/>
      <c r="G5" s="1091"/>
    </row>
    <row r="6" spans="1:8" x14ac:dyDescent="0.25">
      <c r="A6" s="1090" t="s">
        <v>30</v>
      </c>
      <c r="B6" s="1090"/>
      <c r="C6" s="1090"/>
      <c r="D6" s="1090"/>
      <c r="E6" s="1090"/>
      <c r="F6" s="1090"/>
      <c r="G6" s="1090"/>
    </row>
    <row r="7" spans="1:8" x14ac:dyDescent="0.25">
      <c r="A7" s="1090" t="str">
        <f>+'Informações Iniciais'!A5:B5</f>
        <v>2º Bimestre de 2017</v>
      </c>
      <c r="B7" s="1090"/>
      <c r="C7" s="1090"/>
      <c r="D7" s="1090"/>
      <c r="E7" s="1090"/>
      <c r="F7" s="1090"/>
      <c r="G7" s="1090"/>
    </row>
    <row r="8" spans="1:8" x14ac:dyDescent="0.25">
      <c r="A8" s="637"/>
      <c r="B8" s="637"/>
      <c r="C8" s="637"/>
      <c r="D8" s="637"/>
      <c r="E8" s="637"/>
      <c r="F8" s="636"/>
      <c r="G8" s="636"/>
    </row>
    <row r="9" spans="1:8" x14ac:dyDescent="0.25">
      <c r="A9" s="638" t="s">
        <v>903</v>
      </c>
      <c r="B9" s="635"/>
      <c r="C9" s="635"/>
      <c r="D9" s="635"/>
      <c r="E9" s="636"/>
      <c r="F9" s="636"/>
      <c r="G9" s="639"/>
      <c r="H9" s="640" t="s">
        <v>32</v>
      </c>
    </row>
    <row r="10" spans="1:8" ht="12.75" customHeight="1" x14ac:dyDescent="0.25">
      <c r="A10" s="641" t="s">
        <v>904</v>
      </c>
      <c r="B10" s="1092" t="s">
        <v>905</v>
      </c>
      <c r="C10" s="1092"/>
      <c r="D10" s="1088" t="s">
        <v>121</v>
      </c>
      <c r="E10" s="1088"/>
      <c r="F10" s="1088" t="s">
        <v>122</v>
      </c>
      <c r="G10" s="1088"/>
      <c r="H10" s="1044" t="s">
        <v>906</v>
      </c>
    </row>
    <row r="11" spans="1:8" ht="21.75" customHeight="1" x14ac:dyDescent="0.25">
      <c r="A11" s="642" t="s">
        <v>712</v>
      </c>
      <c r="B11" s="1092"/>
      <c r="C11" s="1092"/>
      <c r="D11" s="643" t="s">
        <v>40</v>
      </c>
      <c r="E11" s="644" t="s">
        <v>39</v>
      </c>
      <c r="F11" s="643" t="s">
        <v>40</v>
      </c>
      <c r="G11" s="644" t="s">
        <v>39</v>
      </c>
      <c r="H11" s="1044"/>
    </row>
    <row r="12" spans="1:8" x14ac:dyDescent="0.25">
      <c r="A12" s="645" t="s">
        <v>835</v>
      </c>
      <c r="B12" s="1092"/>
      <c r="C12" s="1092"/>
      <c r="D12" s="646" t="s">
        <v>42</v>
      </c>
      <c r="E12" s="647" t="s">
        <v>802</v>
      </c>
      <c r="F12" s="646" t="s">
        <v>44</v>
      </c>
      <c r="G12" s="647" t="s">
        <v>907</v>
      </c>
      <c r="H12" s="1044"/>
    </row>
    <row r="13" spans="1:8" x14ac:dyDescent="0.25">
      <c r="A13" s="648" t="s">
        <v>838</v>
      </c>
      <c r="B13" s="1071">
        <f>SUM(B14:C16)</f>
        <v>0</v>
      </c>
      <c r="C13" s="1071"/>
      <c r="D13" s="531">
        <f>SUM(D14:D16)</f>
        <v>0</v>
      </c>
      <c r="E13" s="531">
        <f t="shared" ref="E13:E21" si="0">IF($B13="",0,IF($B13=0,0,D13/$B13))</f>
        <v>0</v>
      </c>
      <c r="F13" s="531">
        <f>SUM(F14:F16)</f>
        <v>0</v>
      </c>
      <c r="G13" s="531">
        <f t="shared" ref="G13:G21" si="1">IF($B13="",0,IF($B13=0,0,F13/$B13))</f>
        <v>0</v>
      </c>
      <c r="H13" s="649">
        <f>SUM(H14:H16)</f>
        <v>0</v>
      </c>
    </row>
    <row r="14" spans="1:8" x14ac:dyDescent="0.25">
      <c r="A14" s="650" t="s">
        <v>514</v>
      </c>
      <c r="B14" s="1067"/>
      <c r="C14" s="1067"/>
      <c r="D14" s="530"/>
      <c r="E14" s="531">
        <f t="shared" si="0"/>
        <v>0</v>
      </c>
      <c r="F14" s="530"/>
      <c r="G14" s="531">
        <f t="shared" si="1"/>
        <v>0</v>
      </c>
      <c r="H14" s="561"/>
    </row>
    <row r="15" spans="1:8" x14ac:dyDescent="0.25">
      <c r="A15" s="650" t="s">
        <v>839</v>
      </c>
      <c r="B15" s="1067"/>
      <c r="C15" s="1067"/>
      <c r="D15" s="530"/>
      <c r="E15" s="531">
        <f t="shared" si="0"/>
        <v>0</v>
      </c>
      <c r="F15" s="530"/>
      <c r="G15" s="531">
        <f t="shared" si="1"/>
        <v>0</v>
      </c>
      <c r="H15" s="561"/>
    </row>
    <row r="16" spans="1:8" x14ac:dyDescent="0.25">
      <c r="A16" s="650" t="s">
        <v>516</v>
      </c>
      <c r="B16" s="1067"/>
      <c r="C16" s="1067"/>
      <c r="D16" s="530"/>
      <c r="E16" s="531">
        <f t="shared" si="0"/>
        <v>0</v>
      </c>
      <c r="F16" s="530"/>
      <c r="G16" s="531">
        <f t="shared" si="1"/>
        <v>0</v>
      </c>
      <c r="H16" s="561"/>
    </row>
    <row r="17" spans="1:10" x14ac:dyDescent="0.25">
      <c r="A17" s="650" t="s">
        <v>745</v>
      </c>
      <c r="B17" s="1078">
        <f>SUM(B18:C20)</f>
        <v>0</v>
      </c>
      <c r="C17" s="1078"/>
      <c r="D17" s="531">
        <f>SUM(D18:D20)</f>
        <v>0</v>
      </c>
      <c r="E17" s="531">
        <f t="shared" si="0"/>
        <v>0</v>
      </c>
      <c r="F17" s="531">
        <f>SUM(F18:F20)</f>
        <v>0</v>
      </c>
      <c r="G17" s="531">
        <f t="shared" si="1"/>
        <v>0</v>
      </c>
      <c r="H17" s="651">
        <f>SUM(H18:H20)</f>
        <v>0</v>
      </c>
    </row>
    <row r="18" spans="1:10" x14ac:dyDescent="0.25">
      <c r="A18" s="637" t="s">
        <v>840</v>
      </c>
      <c r="B18" s="1067"/>
      <c r="C18" s="1067"/>
      <c r="D18" s="530"/>
      <c r="E18" s="531">
        <f t="shared" si="0"/>
        <v>0</v>
      </c>
      <c r="F18" s="530"/>
      <c r="G18" s="531">
        <f t="shared" si="1"/>
        <v>0</v>
      </c>
      <c r="H18" s="425"/>
    </row>
    <row r="19" spans="1:10" x14ac:dyDescent="0.25">
      <c r="A19" s="637" t="s">
        <v>520</v>
      </c>
      <c r="B19" s="1067"/>
      <c r="C19" s="1067"/>
      <c r="D19" s="530"/>
      <c r="E19" s="531">
        <f t="shared" si="0"/>
        <v>0</v>
      </c>
      <c r="F19" s="530"/>
      <c r="G19" s="531">
        <f t="shared" si="1"/>
        <v>0</v>
      </c>
      <c r="H19" s="425"/>
    </row>
    <row r="20" spans="1:10" x14ac:dyDescent="0.25">
      <c r="A20" s="637" t="s">
        <v>841</v>
      </c>
      <c r="B20" s="1085"/>
      <c r="C20" s="1085"/>
      <c r="D20" s="530"/>
      <c r="E20" s="531">
        <f t="shared" si="0"/>
        <v>0</v>
      </c>
      <c r="F20" s="530"/>
      <c r="G20" s="531">
        <f t="shared" si="1"/>
        <v>0</v>
      </c>
      <c r="H20" s="427"/>
    </row>
    <row r="21" spans="1:10" x14ac:dyDescent="0.25">
      <c r="A21" s="652" t="s">
        <v>908</v>
      </c>
      <c r="B21" s="1086">
        <f>B13+B17</f>
        <v>0</v>
      </c>
      <c r="C21" s="1086"/>
      <c r="D21" s="653">
        <f>D13+D17</f>
        <v>0</v>
      </c>
      <c r="E21" s="654">
        <f t="shared" si="0"/>
        <v>0</v>
      </c>
      <c r="F21" s="653">
        <f>F13+F17</f>
        <v>0</v>
      </c>
      <c r="G21" s="654">
        <f t="shared" si="1"/>
        <v>0</v>
      </c>
      <c r="H21" s="655">
        <f>H13+H17</f>
        <v>0</v>
      </c>
      <c r="I21" s="633">
        <f>IF(A7=J21,IF(D21-(F21+H21)&lt;&gt;0,1,0),0)</f>
        <v>0</v>
      </c>
      <c r="J21" s="633" t="s">
        <v>909</v>
      </c>
    </row>
    <row r="22" spans="1:10" ht="15.75" customHeight="1" x14ac:dyDescent="0.3">
      <c r="A22" s="1084" t="str">
        <f>IF(I21=1,"O total das DESPESAS EMPENHADAS deve coreesponder ao somatório das DESPESAS LIQUIDADAS + Inscritas em Restos a Pagar não Processados","")</f>
        <v/>
      </c>
      <c r="B22" s="1084"/>
      <c r="C22" s="1084"/>
      <c r="D22" s="1084"/>
      <c r="E22" s="1084"/>
      <c r="F22" s="1084"/>
      <c r="G22" s="1084"/>
      <c r="H22" s="1084"/>
    </row>
    <row r="23" spans="1:10" ht="12.75" customHeight="1" x14ac:dyDescent="0.25">
      <c r="A23" s="1087" t="s">
        <v>844</v>
      </c>
      <c r="B23" s="1087"/>
      <c r="C23" s="1087"/>
      <c r="D23" s="1088" t="s">
        <v>121</v>
      </c>
      <c r="E23" s="1088"/>
      <c r="F23" s="1088" t="s">
        <v>122</v>
      </c>
      <c r="G23" s="1088"/>
      <c r="H23" s="1089" t="s">
        <v>906</v>
      </c>
    </row>
    <row r="24" spans="1:10" ht="21.75" customHeight="1" x14ac:dyDescent="0.25">
      <c r="A24" s="1087"/>
      <c r="B24" s="1087"/>
      <c r="C24" s="1087"/>
      <c r="D24" s="656" t="s">
        <v>40</v>
      </c>
      <c r="E24" s="657" t="s">
        <v>39</v>
      </c>
      <c r="F24" s="656" t="s">
        <v>40</v>
      </c>
      <c r="G24" s="657" t="s">
        <v>39</v>
      </c>
      <c r="H24" s="1089"/>
    </row>
    <row r="25" spans="1:10" x14ac:dyDescent="0.25">
      <c r="A25" s="1087"/>
      <c r="B25" s="1087"/>
      <c r="C25" s="1087"/>
      <c r="D25" s="646" t="s">
        <v>126</v>
      </c>
      <c r="E25" s="647" t="s">
        <v>910</v>
      </c>
      <c r="F25" s="646" t="s">
        <v>128</v>
      </c>
      <c r="G25" s="647" t="s">
        <v>911</v>
      </c>
      <c r="H25" s="1089"/>
    </row>
    <row r="26" spans="1:10" x14ac:dyDescent="0.25">
      <c r="A26" s="658" t="s">
        <v>848</v>
      </c>
      <c r="B26" s="659"/>
      <c r="C26" s="660"/>
      <c r="D26" s="530"/>
      <c r="E26" s="562"/>
      <c r="F26" s="577"/>
      <c r="G26" s="561"/>
      <c r="H26" s="661"/>
    </row>
    <row r="27" spans="1:10" x14ac:dyDescent="0.25">
      <c r="A27" s="658" t="s">
        <v>849</v>
      </c>
      <c r="B27" s="658"/>
      <c r="C27" s="660"/>
      <c r="D27" s="531">
        <f>SUM(D28:D30)</f>
        <v>0</v>
      </c>
      <c r="E27" s="531">
        <f>SUM(E28:E30)</f>
        <v>0</v>
      </c>
      <c r="F27" s="531">
        <f>SUM(F28:F30)</f>
        <v>0</v>
      </c>
      <c r="G27" s="531">
        <f>SUM(G28:G30)</f>
        <v>0</v>
      </c>
      <c r="H27" s="651">
        <f>SUM(H28:H30)</f>
        <v>0</v>
      </c>
    </row>
    <row r="28" spans="1:10" x14ac:dyDescent="0.25">
      <c r="A28" s="638" t="s">
        <v>850</v>
      </c>
      <c r="B28" s="650"/>
      <c r="C28" s="650"/>
      <c r="D28" s="530"/>
      <c r="E28" s="530"/>
      <c r="F28" s="530"/>
      <c r="G28" s="530"/>
      <c r="H28" s="561"/>
    </row>
    <row r="29" spans="1:10" x14ac:dyDescent="0.25">
      <c r="A29" s="638" t="s">
        <v>851</v>
      </c>
      <c r="B29" s="650"/>
      <c r="C29" s="650"/>
      <c r="D29" s="530"/>
      <c r="E29" s="530"/>
      <c r="F29" s="530"/>
      <c r="G29" s="530"/>
      <c r="H29" s="561"/>
    </row>
    <row r="30" spans="1:10" x14ac:dyDescent="0.25">
      <c r="A30" s="662" t="s">
        <v>852</v>
      </c>
      <c r="B30" s="650"/>
      <c r="C30" s="650"/>
      <c r="D30" s="529"/>
      <c r="E30" s="529"/>
      <c r="F30" s="529"/>
      <c r="G30" s="529"/>
      <c r="H30" s="529"/>
    </row>
    <row r="31" spans="1:10" x14ac:dyDescent="0.25">
      <c r="A31" s="658" t="s">
        <v>853</v>
      </c>
      <c r="B31" s="650"/>
      <c r="C31" s="650"/>
      <c r="D31" s="529"/>
      <c r="E31" s="529"/>
      <c r="F31" s="529"/>
      <c r="G31" s="529"/>
      <c r="H31" s="529"/>
    </row>
    <row r="32" spans="1:10" ht="13.9" customHeight="1" x14ac:dyDescent="0.25">
      <c r="A32" s="1082" t="s">
        <v>912</v>
      </c>
      <c r="B32" s="1082"/>
      <c r="C32" s="1082"/>
      <c r="D32" s="529"/>
      <c r="E32" s="529"/>
      <c r="F32" s="529"/>
      <c r="G32" s="529"/>
      <c r="H32" s="529"/>
    </row>
    <row r="33" spans="1:9" ht="12.75" customHeight="1" x14ac:dyDescent="0.25">
      <c r="A33" s="1082" t="s">
        <v>913</v>
      </c>
      <c r="B33" s="1082"/>
      <c r="C33" s="1082"/>
      <c r="D33" s="529"/>
      <c r="E33" s="529"/>
      <c r="F33" s="529"/>
      <c r="G33" s="529"/>
      <c r="H33" s="529"/>
    </row>
    <row r="34" spans="1:9" ht="24" customHeight="1" x14ac:dyDescent="0.25">
      <c r="A34" s="1083" t="s">
        <v>914</v>
      </c>
      <c r="B34" s="1083"/>
      <c r="C34" s="1083"/>
      <c r="D34" s="529"/>
      <c r="E34" s="529"/>
      <c r="F34" s="529"/>
      <c r="G34" s="529"/>
      <c r="H34" s="529"/>
    </row>
    <row r="35" spans="1:9" ht="16.5" customHeight="1" x14ac:dyDescent="0.25">
      <c r="A35" s="663" t="s">
        <v>915</v>
      </c>
      <c r="B35" s="664"/>
      <c r="C35" s="665"/>
      <c r="D35" s="567">
        <f>D26+D27+D31+D32+D33+D34</f>
        <v>0</v>
      </c>
      <c r="E35" s="567">
        <f>E26+E27+E31+E32+E33+E34</f>
        <v>0</v>
      </c>
      <c r="F35" s="567">
        <f>F26+F27+F31+F32+F33+F34</f>
        <v>0</v>
      </c>
      <c r="G35" s="567">
        <f>G26+G27+G31+G32+G33+G34</f>
        <v>0</v>
      </c>
      <c r="H35" s="567">
        <f>H26+H27+H31+H32+H33+H34</f>
        <v>0</v>
      </c>
      <c r="I35" s="633">
        <f>IF(A7=J21,IF(D35-(F35+H35)&lt;&gt;0,1,0),0)</f>
        <v>0</v>
      </c>
    </row>
    <row r="36" spans="1:9" ht="15" x14ac:dyDescent="0.3">
      <c r="A36" s="1084" t="str">
        <f>IF(I35=1,"O total das DESPESAS EMPENHADAS deve coreesponder ao somatório das DESPESAS LIQUIDADAS + Inscritas em Restos a Pagar não Processados","")</f>
        <v/>
      </c>
      <c r="B36" s="1084"/>
      <c r="C36" s="1084"/>
      <c r="D36" s="1084"/>
      <c r="E36" s="1084"/>
      <c r="F36" s="1084"/>
      <c r="G36" s="1084"/>
      <c r="H36" s="1084"/>
    </row>
    <row r="37" spans="1:9" ht="22.5" customHeight="1" x14ac:dyDescent="0.25">
      <c r="A37" s="666" t="s">
        <v>916</v>
      </c>
      <c r="B37" s="667"/>
      <c r="C37" s="667"/>
      <c r="D37" s="668">
        <f>D21-D35</f>
        <v>0</v>
      </c>
      <c r="E37" s="668">
        <f>E21-E35</f>
        <v>0</v>
      </c>
      <c r="F37" s="668">
        <f>F21-F35</f>
        <v>0</v>
      </c>
      <c r="G37" s="669">
        <f>G21-G35</f>
        <v>0</v>
      </c>
      <c r="H37" s="669">
        <f>H21-H35</f>
        <v>0</v>
      </c>
    </row>
    <row r="38" spans="1:9" ht="15" customHeight="1" x14ac:dyDescent="0.25">
      <c r="A38" s="968" t="s">
        <v>734</v>
      </c>
      <c r="B38" s="968"/>
      <c r="C38" s="968"/>
      <c r="D38" s="650"/>
      <c r="E38" s="650"/>
      <c r="F38" s="636"/>
      <c r="G38" s="636"/>
    </row>
  </sheetData>
  <sheetProtection password="F3F6" sheet="1"/>
  <mergeCells count="28">
    <mergeCell ref="A3:G3"/>
    <mergeCell ref="A4:G4"/>
    <mergeCell ref="A5:G5"/>
    <mergeCell ref="A6:G6"/>
    <mergeCell ref="A7:G7"/>
    <mergeCell ref="B10:C12"/>
    <mergeCell ref="D10:E10"/>
    <mergeCell ref="F10:G10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36"/>
  <sheetViews>
    <sheetView showGridLines="0" zoomScale="80" zoomScaleNormal="80" workbookViewId="0">
      <selection activeCell="I12" sqref="I12:L12"/>
    </sheetView>
  </sheetViews>
  <sheetFormatPr defaultColWidth="9.1796875" defaultRowHeight="11.25" customHeight="1" x14ac:dyDescent="0.2"/>
  <cols>
    <col min="1" max="1" width="50.81640625" style="670" customWidth="1"/>
    <col min="2" max="12" width="9.26953125" style="670" customWidth="1"/>
    <col min="13" max="13" width="8" style="670" customWidth="1"/>
    <col min="14" max="16384" width="9.1796875" style="670"/>
  </cols>
  <sheetData>
    <row r="1" spans="1:15" ht="15.75" customHeight="1" x14ac:dyDescent="0.3">
      <c r="A1" s="671" t="s">
        <v>917</v>
      </c>
      <c r="B1" s="672"/>
      <c r="C1" s="672"/>
      <c r="M1" s="673"/>
    </row>
    <row r="2" spans="1:15" ht="11.25" customHeight="1" x14ac:dyDescent="0.2">
      <c r="M2" s="673"/>
    </row>
    <row r="3" spans="1:15" ht="11.25" customHeight="1" x14ac:dyDescent="0.25">
      <c r="A3" s="1119" t="str">
        <f>+'Informações Iniciais'!A1:B1</f>
        <v>ESTADO DO MARANHÃO - PREFEITURA MUNICIPAL DE DAVINOPOLIS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674"/>
    </row>
    <row r="4" spans="1:15" ht="11.25" customHeight="1" x14ac:dyDescent="0.25">
      <c r="A4" s="1119" t="s">
        <v>1</v>
      </c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674"/>
    </row>
    <row r="5" spans="1:15" ht="11.25" customHeight="1" x14ac:dyDescent="0.25">
      <c r="A5" s="1120" t="s">
        <v>918</v>
      </c>
      <c r="B5" s="1120"/>
      <c r="C5" s="1120"/>
      <c r="D5" s="1120"/>
      <c r="E5" s="1120"/>
      <c r="F5" s="1120"/>
      <c r="G5" s="1120"/>
      <c r="H5" s="1120"/>
      <c r="I5" s="1120"/>
      <c r="J5" s="1120"/>
      <c r="K5" s="1120"/>
      <c r="L5" s="1120"/>
      <c r="M5" s="674"/>
    </row>
    <row r="6" spans="1:15" ht="11.25" customHeight="1" x14ac:dyDescent="0.25">
      <c r="A6" s="1119" t="s">
        <v>30</v>
      </c>
      <c r="B6" s="1119"/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674"/>
    </row>
    <row r="7" spans="1:15" ht="11.25" customHeight="1" x14ac:dyDescent="0.25">
      <c r="A7" s="1119" t="str">
        <f>+'Informações Iniciais'!A5:B5</f>
        <v>2º Bimestre de 2017</v>
      </c>
      <c r="B7" s="1119"/>
      <c r="C7" s="1119"/>
      <c r="D7" s="1119"/>
      <c r="E7" s="1119"/>
      <c r="F7" s="1119"/>
      <c r="G7" s="1119"/>
      <c r="H7" s="1119"/>
      <c r="I7" s="1119"/>
      <c r="J7" s="1119"/>
      <c r="K7" s="1119"/>
      <c r="L7" s="1119"/>
      <c r="M7" s="674"/>
    </row>
    <row r="8" spans="1:15" ht="15.75" customHeight="1" x14ac:dyDescent="0.25">
      <c r="A8" s="1121" t="str">
        <f>IF(M8&gt;0,"ERRO!!!  Em alguma linha o saldo ''Até o bimestre'' está menor que o valor ''No bimestre''. Verifique!!!","")</f>
        <v/>
      </c>
      <c r="B8" s="1121"/>
      <c r="C8" s="1121"/>
      <c r="D8" s="1121"/>
      <c r="E8" s="1121"/>
      <c r="F8" s="1121"/>
      <c r="G8" s="1121"/>
      <c r="H8" s="1121"/>
      <c r="I8" s="1121"/>
      <c r="J8" s="1121"/>
      <c r="K8" s="1121"/>
      <c r="L8" s="1121"/>
      <c r="M8" s="674">
        <f>SUM(M12:M20)</f>
        <v>0</v>
      </c>
    </row>
    <row r="9" spans="1:15" ht="11.25" customHeight="1" x14ac:dyDescent="0.25">
      <c r="A9" s="1110" t="s">
        <v>919</v>
      </c>
      <c r="B9" s="1110"/>
      <c r="C9" s="1110"/>
      <c r="D9" s="1110"/>
      <c r="E9" s="1111"/>
      <c r="F9" s="1111"/>
      <c r="G9" s="1111"/>
      <c r="H9" s="675"/>
      <c r="I9" s="1112"/>
      <c r="J9" s="1112"/>
      <c r="K9" s="1113" t="s">
        <v>32</v>
      </c>
      <c r="L9" s="1113"/>
      <c r="M9" s="674"/>
    </row>
    <row r="10" spans="1:15" s="679" customFormat="1" ht="11.25" customHeight="1" x14ac:dyDescent="0.25">
      <c r="A10" s="1114" t="s">
        <v>920</v>
      </c>
      <c r="B10" s="1115" t="s">
        <v>921</v>
      </c>
      <c r="C10" s="1115"/>
      <c r="D10" s="1115"/>
      <c r="E10" s="1116" t="s">
        <v>922</v>
      </c>
      <c r="F10" s="1116"/>
      <c r="G10" s="1116"/>
      <c r="H10" s="1116"/>
      <c r="I10" s="1116"/>
      <c r="J10" s="676" t="str">
        <f>RIGHT('Informações Iniciais'!IV5,4)</f>
        <v>2017</v>
      </c>
      <c r="K10" s="677"/>
      <c r="L10" s="677"/>
      <c r="M10" s="678"/>
      <c r="O10" s="680" t="s">
        <v>923</v>
      </c>
    </row>
    <row r="11" spans="1:15" s="679" customFormat="1" ht="11.25" customHeight="1" x14ac:dyDescent="0.25">
      <c r="A11" s="1114"/>
      <c r="B11" s="1117" t="str">
        <f>CONCATENATE(O10,(J10-1))</f>
        <v>31 DE DEZEMBRO DE 2016</v>
      </c>
      <c r="C11" s="1117"/>
      <c r="D11" s="1117"/>
      <c r="E11" s="1118" t="s">
        <v>924</v>
      </c>
      <c r="F11" s="1118"/>
      <c r="G11" s="1118"/>
      <c r="H11" s="1118"/>
      <c r="I11" s="1095" t="s">
        <v>925</v>
      </c>
      <c r="J11" s="1095"/>
      <c r="K11" s="1095"/>
      <c r="L11" s="1095"/>
      <c r="M11" s="678"/>
    </row>
    <row r="12" spans="1:15" s="679" customFormat="1" ht="11.25" customHeight="1" x14ac:dyDescent="0.25">
      <c r="A12" s="681" t="s">
        <v>926</v>
      </c>
      <c r="B12" s="1107">
        <f>+B13</f>
        <v>0</v>
      </c>
      <c r="C12" s="1107"/>
      <c r="D12" s="1107"/>
      <c r="E12" s="1108">
        <f>+E13</f>
        <v>0</v>
      </c>
      <c r="F12" s="1108"/>
      <c r="G12" s="1108"/>
      <c r="H12" s="1108"/>
      <c r="I12" s="1109">
        <f>+I13</f>
        <v>0</v>
      </c>
      <c r="J12" s="1109"/>
      <c r="K12" s="1109"/>
      <c r="L12" s="1109"/>
      <c r="M12" s="678">
        <f>IF(E12&gt;I12,1,0)</f>
        <v>0</v>
      </c>
    </row>
    <row r="13" spans="1:15" s="679" customFormat="1" ht="11.25" customHeight="1" x14ac:dyDescent="0.25">
      <c r="A13" s="682" t="s">
        <v>927</v>
      </c>
      <c r="B13" s="1097"/>
      <c r="C13" s="1097"/>
      <c r="D13" s="1097"/>
      <c r="E13" s="1098"/>
      <c r="F13" s="1098"/>
      <c r="G13" s="1098"/>
      <c r="H13" s="1098"/>
      <c r="I13" s="1099"/>
      <c r="J13" s="1099"/>
      <c r="K13" s="1099"/>
      <c r="L13" s="1099"/>
      <c r="M13" s="678"/>
    </row>
    <row r="14" spans="1:15" s="679" customFormat="1" ht="11.25" customHeight="1" x14ac:dyDescent="0.25">
      <c r="A14" s="683" t="s">
        <v>928</v>
      </c>
      <c r="B14" s="1101">
        <f>SUM(B15:D17)</f>
        <v>0</v>
      </c>
      <c r="C14" s="1101"/>
      <c r="D14" s="1101"/>
      <c r="E14" s="1102">
        <f>SUM(E15:H17)</f>
        <v>0</v>
      </c>
      <c r="F14" s="1102"/>
      <c r="G14" s="1102"/>
      <c r="H14" s="1102"/>
      <c r="I14" s="1103">
        <f>SUM(I15:L17)</f>
        <v>0</v>
      </c>
      <c r="J14" s="1103"/>
      <c r="K14" s="1103"/>
      <c r="L14" s="1103"/>
      <c r="M14" s="678">
        <f>IF(E14&gt;I14,1,0)</f>
        <v>0</v>
      </c>
    </row>
    <row r="15" spans="1:15" s="679" customFormat="1" ht="11.25" customHeight="1" x14ac:dyDescent="0.25">
      <c r="A15" s="684" t="s">
        <v>929</v>
      </c>
      <c r="B15" s="1097"/>
      <c r="C15" s="1097"/>
      <c r="D15" s="1097"/>
      <c r="E15" s="1104"/>
      <c r="F15" s="1104"/>
      <c r="G15" s="1104"/>
      <c r="H15" s="1104"/>
      <c r="I15" s="1099"/>
      <c r="J15" s="1099"/>
      <c r="K15" s="1099"/>
      <c r="L15" s="1099"/>
      <c r="M15" s="678"/>
    </row>
    <row r="16" spans="1:15" s="679" customFormat="1" ht="11.25" customHeight="1" x14ac:dyDescent="0.25">
      <c r="A16" s="684" t="s">
        <v>930</v>
      </c>
      <c r="B16" s="1097"/>
      <c r="C16" s="1097"/>
      <c r="D16" s="1097"/>
      <c r="E16" s="1104"/>
      <c r="F16" s="1104"/>
      <c r="G16" s="1104"/>
      <c r="H16" s="1104"/>
      <c r="I16" s="1099"/>
      <c r="J16" s="1099"/>
      <c r="K16" s="1099"/>
      <c r="L16" s="1099"/>
      <c r="M16" s="678"/>
    </row>
    <row r="17" spans="1:13" s="679" customFormat="1" ht="11.25" customHeight="1" x14ac:dyDescent="0.25">
      <c r="A17" s="685" t="s">
        <v>931</v>
      </c>
      <c r="B17" s="1105"/>
      <c r="C17" s="1105"/>
      <c r="D17" s="1105"/>
      <c r="E17" s="1098"/>
      <c r="F17" s="1098"/>
      <c r="G17" s="1098"/>
      <c r="H17" s="1098"/>
      <c r="I17" s="1106"/>
      <c r="J17" s="1106"/>
      <c r="K17" s="1106"/>
      <c r="L17" s="1106"/>
      <c r="M17" s="678"/>
    </row>
    <row r="18" spans="1:13" s="679" customFormat="1" ht="11.25" customHeight="1" x14ac:dyDescent="0.25">
      <c r="A18" s="683" t="s">
        <v>932</v>
      </c>
      <c r="B18" s="1101">
        <f>SUM(B19:D20)</f>
        <v>0</v>
      </c>
      <c r="C18" s="1101"/>
      <c r="D18" s="1101"/>
      <c r="E18" s="1102">
        <f>SUM(E19:H20)</f>
        <v>0</v>
      </c>
      <c r="F18" s="1102"/>
      <c r="G18" s="1102"/>
      <c r="H18" s="1102"/>
      <c r="I18" s="1103">
        <f>SUM(I19:L20)</f>
        <v>0</v>
      </c>
      <c r="J18" s="1103"/>
      <c r="K18" s="1103"/>
      <c r="L18" s="1103"/>
      <c r="M18" s="678">
        <f>IF(E18&gt;I18,1,0)</f>
        <v>0</v>
      </c>
    </row>
    <row r="19" spans="1:13" s="679" customFormat="1" ht="11.25" customHeight="1" x14ac:dyDescent="0.25">
      <c r="A19" s="684" t="s">
        <v>933</v>
      </c>
      <c r="B19" s="1097"/>
      <c r="C19" s="1097"/>
      <c r="D19" s="1097"/>
      <c r="E19" s="1104"/>
      <c r="F19" s="1104"/>
      <c r="G19" s="1104"/>
      <c r="H19" s="1104"/>
      <c r="I19" s="1099"/>
      <c r="J19" s="1099"/>
      <c r="K19" s="1099"/>
      <c r="L19" s="1099"/>
      <c r="M19" s="678"/>
    </row>
    <row r="20" spans="1:13" s="679" customFormat="1" ht="11.25" customHeight="1" x14ac:dyDescent="0.25">
      <c r="A20" s="685" t="s">
        <v>934</v>
      </c>
      <c r="B20" s="1097"/>
      <c r="C20" s="1097"/>
      <c r="D20" s="1097"/>
      <c r="E20" s="1098"/>
      <c r="F20" s="1098"/>
      <c r="G20" s="1098"/>
      <c r="H20" s="1098"/>
      <c r="I20" s="1099"/>
      <c r="J20" s="1099"/>
      <c r="K20" s="1099"/>
      <c r="L20" s="1099"/>
      <c r="M20" s="678"/>
    </row>
    <row r="21" spans="1:13" ht="3" customHeight="1" x14ac:dyDescent="0.2">
      <c r="A21" s="1100"/>
      <c r="B21" s="1100"/>
      <c r="C21" s="1100"/>
      <c r="D21" s="1100"/>
      <c r="E21" s="1100"/>
      <c r="F21" s="1100"/>
      <c r="G21" s="1100"/>
      <c r="H21" s="1100"/>
      <c r="I21" s="1100"/>
      <c r="J21" s="1100"/>
      <c r="K21" s="1100"/>
      <c r="L21" s="1100"/>
      <c r="M21" s="673"/>
    </row>
    <row r="22" spans="1:13" s="688" customFormat="1" ht="11.25" customHeight="1" x14ac:dyDescent="0.25">
      <c r="A22" s="686"/>
      <c r="B22" s="1095" t="s">
        <v>935</v>
      </c>
      <c r="C22" s="1095" t="s">
        <v>936</v>
      </c>
      <c r="D22" s="1095">
        <f>+C24+1</f>
        <v>2018</v>
      </c>
      <c r="E22" s="1095">
        <f t="shared" ref="E22:L22" si="0">+D22+1</f>
        <v>2019</v>
      </c>
      <c r="F22" s="1095">
        <f t="shared" si="0"/>
        <v>2020</v>
      </c>
      <c r="G22" s="1095">
        <f t="shared" si="0"/>
        <v>2021</v>
      </c>
      <c r="H22" s="1095">
        <f t="shared" si="0"/>
        <v>2022</v>
      </c>
      <c r="I22" s="1095">
        <f t="shared" si="0"/>
        <v>2023</v>
      </c>
      <c r="J22" s="1095">
        <f t="shared" si="0"/>
        <v>2024</v>
      </c>
      <c r="K22" s="1095">
        <f t="shared" si="0"/>
        <v>2025</v>
      </c>
      <c r="L22" s="1095">
        <f t="shared" si="0"/>
        <v>2026</v>
      </c>
      <c r="M22" s="687"/>
    </row>
    <row r="23" spans="1:13" ht="11.25" customHeight="1" x14ac:dyDescent="0.2">
      <c r="A23" s="689" t="s">
        <v>937</v>
      </c>
      <c r="B23" s="1095"/>
      <c r="C23" s="1095"/>
      <c r="D23" s="1095"/>
      <c r="E23" s="1095"/>
      <c r="F23" s="1095"/>
      <c r="G23" s="1095"/>
      <c r="H23" s="1095"/>
      <c r="I23" s="1095"/>
      <c r="J23" s="1095"/>
      <c r="K23" s="1095"/>
      <c r="L23" s="1095"/>
      <c r="M23" s="687"/>
    </row>
    <row r="24" spans="1:13" ht="11.25" customHeight="1" x14ac:dyDescent="0.2">
      <c r="A24" s="690"/>
      <c r="B24" s="1095"/>
      <c r="C24" s="691" t="str">
        <f>+J10</f>
        <v>2017</v>
      </c>
      <c r="D24" s="1095"/>
      <c r="E24" s="1095"/>
      <c r="F24" s="1095"/>
      <c r="G24" s="1095"/>
      <c r="H24" s="1095"/>
      <c r="I24" s="1095"/>
      <c r="J24" s="1095"/>
      <c r="K24" s="1095"/>
      <c r="L24" s="1095"/>
      <c r="M24" s="687"/>
    </row>
    <row r="25" spans="1:13" ht="11.25" customHeight="1" x14ac:dyDescent="0.25">
      <c r="A25" s="672" t="s">
        <v>938</v>
      </c>
      <c r="B25" s="692"/>
      <c r="C25" s="692"/>
      <c r="D25" s="692"/>
      <c r="E25" s="692"/>
      <c r="F25" s="692"/>
      <c r="G25" s="692"/>
      <c r="H25" s="692"/>
      <c r="I25" s="692"/>
      <c r="J25" s="692"/>
      <c r="K25" s="693"/>
      <c r="L25" s="692"/>
      <c r="M25" s="694"/>
    </row>
    <row r="26" spans="1:13" ht="11.25" customHeight="1" x14ac:dyDescent="0.25">
      <c r="A26" s="672" t="s">
        <v>939</v>
      </c>
      <c r="B26" s="692"/>
      <c r="C26" s="692"/>
      <c r="D26" s="692"/>
      <c r="E26" s="692"/>
      <c r="F26" s="692"/>
      <c r="G26" s="692"/>
      <c r="H26" s="692"/>
      <c r="I26" s="692"/>
      <c r="J26" s="692"/>
      <c r="K26" s="693"/>
      <c r="L26" s="692"/>
      <c r="M26" s="694"/>
    </row>
    <row r="27" spans="1:13" ht="11.25" customHeight="1" x14ac:dyDescent="0.2">
      <c r="A27" s="682" t="s">
        <v>940</v>
      </c>
      <c r="B27" s="695">
        <f t="shared" ref="B27:L27" si="1">+B26+B25</f>
        <v>0</v>
      </c>
      <c r="C27" s="695">
        <f t="shared" si="1"/>
        <v>0</v>
      </c>
      <c r="D27" s="695">
        <f t="shared" si="1"/>
        <v>0</v>
      </c>
      <c r="E27" s="695">
        <f t="shared" si="1"/>
        <v>0</v>
      </c>
      <c r="F27" s="695">
        <f t="shared" si="1"/>
        <v>0</v>
      </c>
      <c r="G27" s="695">
        <f t="shared" si="1"/>
        <v>0</v>
      </c>
      <c r="H27" s="695">
        <f t="shared" si="1"/>
        <v>0</v>
      </c>
      <c r="I27" s="695">
        <f t="shared" si="1"/>
        <v>0</v>
      </c>
      <c r="J27" s="695">
        <f t="shared" si="1"/>
        <v>0</v>
      </c>
      <c r="K27" s="695">
        <f t="shared" si="1"/>
        <v>0</v>
      </c>
      <c r="L27" s="695">
        <f t="shared" si="1"/>
        <v>0</v>
      </c>
      <c r="M27" s="694"/>
    </row>
    <row r="28" spans="1:13" ht="11.25" customHeight="1" x14ac:dyDescent="0.2">
      <c r="A28" s="682" t="s">
        <v>941</v>
      </c>
      <c r="B28" s="692"/>
      <c r="C28" s="692"/>
      <c r="D28" s="692"/>
      <c r="E28" s="692"/>
      <c r="F28" s="692"/>
      <c r="G28" s="692"/>
      <c r="H28" s="692"/>
      <c r="I28" s="692"/>
      <c r="J28" s="692"/>
      <c r="K28" s="693"/>
      <c r="L28" s="692"/>
      <c r="M28" s="694"/>
    </row>
    <row r="29" spans="1:13" ht="11.25" customHeight="1" x14ac:dyDescent="0.2">
      <c r="A29" s="696" t="s">
        <v>942</v>
      </c>
      <c r="B29" s="697"/>
      <c r="C29" s="695">
        <f>IF(M29&gt;0,M29,0)</f>
        <v>24417775.609999999</v>
      </c>
      <c r="D29" s="697"/>
      <c r="E29" s="697"/>
      <c r="F29" s="697"/>
      <c r="G29" s="697"/>
      <c r="H29" s="697"/>
      <c r="I29" s="697"/>
      <c r="J29" s="697"/>
      <c r="K29" s="698"/>
      <c r="L29" s="697"/>
      <c r="M29" s="699">
        <f>+'Anexo 3 - RCL'!N39</f>
        <v>24417775.609999999</v>
      </c>
    </row>
    <row r="30" spans="1:13" ht="11.25" customHeight="1" x14ac:dyDescent="0.25">
      <c r="A30" s="672" t="s">
        <v>943</v>
      </c>
      <c r="B30" s="695">
        <f t="shared" ref="B30:L30" si="2">+B25+B28</f>
        <v>0</v>
      </c>
      <c r="C30" s="695">
        <f t="shared" si="2"/>
        <v>0</v>
      </c>
      <c r="D30" s="695">
        <f t="shared" si="2"/>
        <v>0</v>
      </c>
      <c r="E30" s="695">
        <f t="shared" si="2"/>
        <v>0</v>
      </c>
      <c r="F30" s="695">
        <f t="shared" si="2"/>
        <v>0</v>
      </c>
      <c r="G30" s="695">
        <f t="shared" si="2"/>
        <v>0</v>
      </c>
      <c r="H30" s="695">
        <f t="shared" si="2"/>
        <v>0</v>
      </c>
      <c r="I30" s="695">
        <f t="shared" si="2"/>
        <v>0</v>
      </c>
      <c r="J30" s="695">
        <f t="shared" si="2"/>
        <v>0</v>
      </c>
      <c r="K30" s="695">
        <f t="shared" si="2"/>
        <v>0</v>
      </c>
      <c r="L30" s="695">
        <f t="shared" si="2"/>
        <v>0</v>
      </c>
      <c r="M30" s="694"/>
    </row>
    <row r="31" spans="1:13" ht="11.25" customHeight="1" x14ac:dyDescent="0.2">
      <c r="A31" s="696" t="s">
        <v>944</v>
      </c>
      <c r="B31" s="700">
        <f t="shared" ref="B31:L31" si="3">IF(B29="",0,IF(B29=0,0,+B30/B29))</f>
        <v>0</v>
      </c>
      <c r="C31" s="700">
        <f t="shared" si="3"/>
        <v>0</v>
      </c>
      <c r="D31" s="700">
        <f t="shared" si="3"/>
        <v>0</v>
      </c>
      <c r="E31" s="700">
        <f t="shared" si="3"/>
        <v>0</v>
      </c>
      <c r="F31" s="700">
        <f t="shared" si="3"/>
        <v>0</v>
      </c>
      <c r="G31" s="700">
        <f t="shared" si="3"/>
        <v>0</v>
      </c>
      <c r="H31" s="700">
        <f t="shared" si="3"/>
        <v>0</v>
      </c>
      <c r="I31" s="700">
        <f t="shared" si="3"/>
        <v>0</v>
      </c>
      <c r="J31" s="700">
        <f t="shared" si="3"/>
        <v>0</v>
      </c>
      <c r="K31" s="700">
        <f t="shared" si="3"/>
        <v>0</v>
      </c>
      <c r="L31" s="700">
        <f t="shared" si="3"/>
        <v>0</v>
      </c>
      <c r="M31" s="701"/>
    </row>
    <row r="32" spans="1:13" s="703" customFormat="1" ht="11.25" customHeight="1" x14ac:dyDescent="0.2">
      <c r="A32" s="1096" t="s">
        <v>945</v>
      </c>
      <c r="B32" s="1096"/>
      <c r="C32" s="1096"/>
      <c r="D32" s="1096"/>
      <c r="E32" s="1096"/>
      <c r="F32" s="1096"/>
      <c r="G32" s="1096"/>
      <c r="H32" s="1096"/>
      <c r="I32" s="1096"/>
      <c r="J32" s="1096"/>
      <c r="K32" s="1096"/>
      <c r="L32" s="1096"/>
      <c r="M32" s="702"/>
    </row>
    <row r="33" spans="1:13" ht="31.5" customHeight="1" x14ac:dyDescent="0.25">
      <c r="A33" s="1093" t="s">
        <v>155</v>
      </c>
      <c r="B33" s="1093"/>
      <c r="C33" s="1093"/>
      <c r="D33" s="1093"/>
      <c r="E33" s="1093"/>
      <c r="F33" s="1093"/>
      <c r="G33" s="1093"/>
      <c r="H33" s="1093"/>
      <c r="I33" s="1093"/>
      <c r="J33" s="1093"/>
      <c r="K33" s="1093"/>
      <c r="L33" s="1093"/>
      <c r="M33" s="704"/>
    </row>
    <row r="34" spans="1:13" ht="20.25" customHeight="1" x14ac:dyDescent="0.2">
      <c r="A34" s="1094" t="s">
        <v>946</v>
      </c>
      <c r="B34" s="1094"/>
      <c r="C34" s="1094"/>
      <c r="D34" s="1094"/>
      <c r="E34" s="1094"/>
      <c r="F34" s="1094"/>
      <c r="G34" s="1094"/>
      <c r="H34" s="1094"/>
      <c r="I34" s="1094"/>
      <c r="J34" s="1094"/>
      <c r="K34" s="1094"/>
      <c r="L34" s="1094"/>
    </row>
    <row r="65536" ht="12.75" customHeight="1" x14ac:dyDescent="0.2"/>
  </sheetData>
  <sheetProtection selectLockedCells="1" selectUnlockedCells="1"/>
  <mergeCells count="58">
    <mergeCell ref="A3:L3"/>
    <mergeCell ref="A4:L4"/>
    <mergeCell ref="A5:L5"/>
    <mergeCell ref="A6:L6"/>
    <mergeCell ref="A7:L7"/>
    <mergeCell ref="A8:L8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B18:D18"/>
    <mergeCell ref="E18:H18"/>
    <mergeCell ref="I18:L18"/>
    <mergeCell ref="B19:D19"/>
    <mergeCell ref="E19:H19"/>
    <mergeCell ref="I19:L19"/>
    <mergeCell ref="B20:D20"/>
    <mergeCell ref="E20:H20"/>
    <mergeCell ref="I20:L20"/>
    <mergeCell ref="A21:L21"/>
    <mergeCell ref="B22:B24"/>
    <mergeCell ref="C22:C23"/>
    <mergeCell ref="D22:D24"/>
    <mergeCell ref="E22:E24"/>
    <mergeCell ref="F22:F24"/>
    <mergeCell ref="G22:G24"/>
    <mergeCell ref="A33:L33"/>
    <mergeCell ref="A34:L34"/>
    <mergeCell ref="H22:H24"/>
    <mergeCell ref="I22:I24"/>
    <mergeCell ref="J22:J24"/>
    <mergeCell ref="K22:K24"/>
    <mergeCell ref="L22:L24"/>
    <mergeCell ref="A32:L32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showGridLines="0" zoomScale="80" zoomScaleNormal="80" workbookViewId="0">
      <selection activeCell="B11" sqref="B11:E11"/>
    </sheetView>
  </sheetViews>
  <sheetFormatPr defaultColWidth="1" defaultRowHeight="11.25" customHeight="1" x14ac:dyDescent="0.25"/>
  <cols>
    <col min="1" max="1" width="84.7265625" style="452" customWidth="1"/>
    <col min="2" max="2" width="16.453125" style="452" customWidth="1"/>
    <col min="3" max="3" width="16.453125" style="705" customWidth="1"/>
    <col min="4" max="5" width="16.453125" style="452" customWidth="1"/>
    <col min="6" max="59" width="15.7265625" style="452" customWidth="1"/>
    <col min="60" max="16384" width="1" style="452"/>
  </cols>
  <sheetData>
    <row r="1" spans="1:5" ht="15.75" customHeight="1" x14ac:dyDescent="0.3">
      <c r="A1" s="1138" t="s">
        <v>947</v>
      </c>
      <c r="B1" s="1138"/>
      <c r="C1" s="1138"/>
      <c r="D1" s="1138"/>
      <c r="E1" s="1138"/>
    </row>
    <row r="2" spans="1:5" ht="11.25" customHeight="1" x14ac:dyDescent="0.25">
      <c r="A2" s="706"/>
    </row>
    <row r="3" spans="1:5" ht="11.25" customHeight="1" x14ac:dyDescent="0.25">
      <c r="A3" s="1022" t="str">
        <f>+'Informações Iniciais'!A1</f>
        <v>ESTADO DO MARANHÃO - PREFEITURA MUNICIPAL DE DAVINOPOLIS</v>
      </c>
      <c r="B3" s="1022"/>
      <c r="C3" s="1022"/>
      <c r="D3" s="1022"/>
      <c r="E3" s="1022"/>
    </row>
    <row r="4" spans="1:5" ht="11.25" customHeight="1" x14ac:dyDescent="0.25">
      <c r="A4" s="1023" t="s">
        <v>948</v>
      </c>
      <c r="B4" s="1023"/>
      <c r="C4" s="1023"/>
      <c r="D4" s="1023"/>
      <c r="E4" s="1023"/>
    </row>
    <row r="5" spans="1:5" ht="11.25" customHeight="1" x14ac:dyDescent="0.25">
      <c r="A5" s="1022" t="s">
        <v>30</v>
      </c>
      <c r="B5" s="1022"/>
      <c r="C5" s="1022"/>
      <c r="D5" s="1022"/>
      <c r="E5" s="1022"/>
    </row>
    <row r="6" spans="1:5" ht="11.25" customHeight="1" x14ac:dyDescent="0.25">
      <c r="A6" s="1022" t="str">
        <f>+'Informações Iniciais'!A5</f>
        <v>2º Bimestre de 2017</v>
      </c>
      <c r="B6" s="1022"/>
      <c r="C6" s="1022"/>
      <c r="D6" s="1022"/>
      <c r="E6" s="1022"/>
    </row>
    <row r="7" spans="1:5" ht="11.25" customHeight="1" x14ac:dyDescent="0.25">
      <c r="A7" s="707"/>
      <c r="B7" s="707"/>
      <c r="C7" s="707"/>
      <c r="D7" s="707"/>
      <c r="E7" s="707"/>
    </row>
    <row r="8" spans="1:5" ht="11.25" customHeight="1" x14ac:dyDescent="0.25">
      <c r="A8" s="452" t="s">
        <v>949</v>
      </c>
      <c r="B8" s="708"/>
      <c r="E8" s="709" t="s">
        <v>32</v>
      </c>
    </row>
    <row r="9" spans="1:5" s="712" customFormat="1" ht="21" customHeight="1" x14ac:dyDescent="0.25">
      <c r="A9" s="710" t="s">
        <v>29</v>
      </c>
      <c r="B9" s="1123" t="s">
        <v>40</v>
      </c>
      <c r="C9" s="1123"/>
      <c r="D9" s="1123"/>
      <c r="E9" s="1123"/>
    </row>
    <row r="10" spans="1:5" ht="11.25" customHeight="1" x14ac:dyDescent="0.25">
      <c r="A10" s="713" t="s">
        <v>33</v>
      </c>
      <c r="B10" s="1017"/>
      <c r="C10" s="1017"/>
      <c r="D10" s="1017"/>
      <c r="E10" s="1017"/>
    </row>
    <row r="11" spans="1:5" ht="11.25" customHeight="1" x14ac:dyDescent="0.25">
      <c r="A11" s="714" t="s">
        <v>950</v>
      </c>
      <c r="B11" s="1013">
        <v>36977490.149999999</v>
      </c>
      <c r="C11" s="1013"/>
      <c r="D11" s="1013"/>
      <c r="E11" s="1013"/>
    </row>
    <row r="12" spans="1:5" ht="11.25" customHeight="1" x14ac:dyDescent="0.25">
      <c r="A12" s="714" t="s">
        <v>951</v>
      </c>
      <c r="B12" s="1013">
        <v>36977490.149999999</v>
      </c>
      <c r="C12" s="1013"/>
      <c r="D12" s="1013"/>
      <c r="E12" s="1013"/>
    </row>
    <row r="13" spans="1:5" ht="11.25" customHeight="1" x14ac:dyDescent="0.25">
      <c r="A13" s="714" t="s">
        <v>952</v>
      </c>
      <c r="B13" s="1013">
        <v>8110831.4500000002</v>
      </c>
      <c r="C13" s="1013"/>
      <c r="D13" s="1013"/>
      <c r="E13" s="1013"/>
    </row>
    <row r="14" spans="1:5" ht="11.25" customHeight="1" x14ac:dyDescent="0.25">
      <c r="A14" s="714" t="s">
        <v>953</v>
      </c>
      <c r="B14" s="1013">
        <v>28866658.699999999</v>
      </c>
      <c r="C14" s="1013"/>
      <c r="D14" s="1013"/>
      <c r="E14" s="1013"/>
    </row>
    <row r="15" spans="1:5" ht="11.25" customHeight="1" x14ac:dyDescent="0.25">
      <c r="A15" s="714" t="s">
        <v>954</v>
      </c>
      <c r="B15" s="1013"/>
      <c r="C15" s="1013"/>
      <c r="D15" s="1013"/>
      <c r="E15" s="1013"/>
    </row>
    <row r="16" spans="1:5" ht="11.25" customHeight="1" x14ac:dyDescent="0.25">
      <c r="A16" s="713" t="s">
        <v>125</v>
      </c>
      <c r="B16" s="1014"/>
      <c r="C16" s="1014"/>
      <c r="D16" s="1014"/>
      <c r="E16" s="1014"/>
    </row>
    <row r="17" spans="1:5" ht="11.25" customHeight="1" x14ac:dyDescent="0.25">
      <c r="A17" s="715" t="s">
        <v>955</v>
      </c>
      <c r="B17" s="1013">
        <v>36977490.149999999</v>
      </c>
      <c r="C17" s="1013"/>
      <c r="D17" s="1013"/>
      <c r="E17" s="1013"/>
    </row>
    <row r="18" spans="1:5" ht="11.25" customHeight="1" x14ac:dyDescent="0.25">
      <c r="A18" s="715" t="s">
        <v>956</v>
      </c>
      <c r="B18" s="1013">
        <v>1394776.45</v>
      </c>
      <c r="C18" s="1013"/>
      <c r="D18" s="1013"/>
      <c r="E18" s="1013"/>
    </row>
    <row r="19" spans="1:5" ht="11.25" customHeight="1" x14ac:dyDescent="0.25">
      <c r="A19" s="715" t="s">
        <v>957</v>
      </c>
      <c r="B19" s="1013">
        <v>38372266.600000001</v>
      </c>
      <c r="C19" s="1013"/>
      <c r="D19" s="1013"/>
      <c r="E19" s="1013"/>
    </row>
    <row r="20" spans="1:5" ht="11.25" customHeight="1" x14ac:dyDescent="0.25">
      <c r="A20" s="715" t="s">
        <v>958</v>
      </c>
      <c r="B20" s="1013">
        <v>9026205.0199999996</v>
      </c>
      <c r="C20" s="1013"/>
      <c r="D20" s="1013"/>
      <c r="E20" s="1013"/>
    </row>
    <row r="21" spans="1:5" ht="11.25" customHeight="1" x14ac:dyDescent="0.25">
      <c r="A21" s="714" t="s">
        <v>959</v>
      </c>
      <c r="B21" s="1137">
        <v>6714388.2699999996</v>
      </c>
      <c r="C21" s="1137"/>
      <c r="D21" s="1137"/>
      <c r="E21" s="1137"/>
    </row>
    <row r="22" spans="1:5" ht="11.25" customHeight="1" x14ac:dyDescent="0.25">
      <c r="A22" s="715" t="s">
        <v>960</v>
      </c>
      <c r="B22" s="717"/>
      <c r="C22" s="718"/>
      <c r="D22" s="718"/>
      <c r="E22" s="716">
        <v>2311816.75</v>
      </c>
    </row>
    <row r="23" spans="1:5" ht="11.25" customHeight="1" x14ac:dyDescent="0.25">
      <c r="A23" s="455" t="s">
        <v>961</v>
      </c>
      <c r="B23" s="1009">
        <v>1396443.18</v>
      </c>
      <c r="C23" s="1009"/>
      <c r="D23" s="1009"/>
      <c r="E23" s="1009"/>
    </row>
    <row r="24" spans="1:5" s="712" customFormat="1" ht="21" customHeight="1" x14ac:dyDescent="0.25">
      <c r="A24" s="710" t="s">
        <v>962</v>
      </c>
      <c r="B24" s="1133" t="s">
        <v>40</v>
      </c>
      <c r="C24" s="1133"/>
      <c r="D24" s="1133"/>
      <c r="E24" s="1133"/>
    </row>
    <row r="25" spans="1:5" ht="11.25" customHeight="1" x14ac:dyDescent="0.25">
      <c r="A25" s="715" t="s">
        <v>963</v>
      </c>
      <c r="B25" s="1016">
        <v>9026205.0199999996</v>
      </c>
      <c r="C25" s="1016"/>
      <c r="D25" s="1016"/>
      <c r="E25" s="1016"/>
    </row>
    <row r="26" spans="1:5" ht="11.25" customHeight="1" x14ac:dyDescent="0.25">
      <c r="A26" s="719" t="s">
        <v>964</v>
      </c>
      <c r="B26" s="1013">
        <v>8110831.4500000002</v>
      </c>
      <c r="C26" s="1013"/>
      <c r="D26" s="1013"/>
      <c r="E26" s="1013"/>
    </row>
    <row r="27" spans="1:5" s="712" customFormat="1" ht="23.25" customHeight="1" x14ac:dyDescent="0.25">
      <c r="A27" s="720" t="s">
        <v>965</v>
      </c>
      <c r="B27" s="1132" t="s">
        <v>40</v>
      </c>
      <c r="C27" s="1132"/>
      <c r="D27" s="1132"/>
      <c r="E27" s="1132"/>
    </row>
    <row r="28" spans="1:5" ht="11.25" customHeight="1" x14ac:dyDescent="0.25">
      <c r="A28" s="721" t="s">
        <v>966</v>
      </c>
      <c r="B28" s="1136">
        <v>24417675.379999999</v>
      </c>
      <c r="C28" s="1136"/>
      <c r="D28" s="1136"/>
      <c r="E28" s="1136"/>
    </row>
    <row r="29" spans="1:5" ht="11.25" customHeight="1" x14ac:dyDescent="0.25">
      <c r="A29" s="715"/>
      <c r="B29" s="722"/>
      <c r="C29" s="723"/>
      <c r="D29" s="724"/>
    </row>
    <row r="30" spans="1:5" s="712" customFormat="1" ht="21.75" customHeight="1" x14ac:dyDescent="0.25">
      <c r="A30" s="710" t="s">
        <v>967</v>
      </c>
      <c r="B30" s="1123" t="s">
        <v>40</v>
      </c>
      <c r="C30" s="1123"/>
      <c r="D30" s="1123"/>
      <c r="E30" s="1123"/>
    </row>
    <row r="31" spans="1:5" s="725" customFormat="1" ht="11.25" customHeight="1" x14ac:dyDescent="0.25">
      <c r="A31" s="715" t="s">
        <v>968</v>
      </c>
      <c r="B31" s="1013"/>
      <c r="C31" s="1013"/>
      <c r="D31" s="1013"/>
      <c r="E31" s="1013"/>
    </row>
    <row r="32" spans="1:5" ht="11.25" customHeight="1" x14ac:dyDescent="0.25">
      <c r="A32" s="715" t="s">
        <v>969</v>
      </c>
      <c r="B32" s="1013"/>
      <c r="C32" s="1013"/>
      <c r="D32" s="1013"/>
      <c r="E32" s="1013"/>
    </row>
    <row r="33" spans="1:5" ht="11.25" customHeight="1" x14ac:dyDescent="0.25">
      <c r="A33" s="715" t="s">
        <v>970</v>
      </c>
      <c r="B33" s="1013"/>
      <c r="C33" s="1013"/>
      <c r="D33" s="1013"/>
      <c r="E33" s="1013"/>
    </row>
    <row r="34" spans="1:5" ht="11.25" customHeight="1" x14ac:dyDescent="0.25">
      <c r="A34" s="715" t="s">
        <v>971</v>
      </c>
      <c r="B34" s="1014">
        <f>+B32-B33</f>
        <v>0</v>
      </c>
      <c r="C34" s="1014"/>
      <c r="D34" s="1014"/>
      <c r="E34" s="1014"/>
    </row>
    <row r="35" spans="1:5" ht="11.25" customHeight="1" x14ac:dyDescent="0.25">
      <c r="A35" s="715" t="s">
        <v>972</v>
      </c>
      <c r="B35" s="1013"/>
      <c r="C35" s="1013"/>
      <c r="D35" s="1013"/>
      <c r="E35" s="1013"/>
    </row>
    <row r="36" spans="1:5" ht="11.25" customHeight="1" x14ac:dyDescent="0.25">
      <c r="A36" s="715" t="s">
        <v>973</v>
      </c>
      <c r="B36" s="1013"/>
      <c r="C36" s="1013"/>
      <c r="D36" s="1013"/>
      <c r="E36" s="1013"/>
    </row>
    <row r="37" spans="1:5" ht="11.25" customHeight="1" x14ac:dyDescent="0.25">
      <c r="A37" s="715" t="s">
        <v>974</v>
      </c>
      <c r="B37" s="1013"/>
      <c r="C37" s="1013"/>
      <c r="D37" s="1013"/>
      <c r="E37" s="1013"/>
    </row>
    <row r="38" spans="1:5" ht="11.25" customHeight="1" x14ac:dyDescent="0.25">
      <c r="A38" s="455" t="s">
        <v>975</v>
      </c>
      <c r="B38" s="1010">
        <f>+B36-B37</f>
        <v>0</v>
      </c>
      <c r="C38" s="1010"/>
      <c r="D38" s="1010"/>
      <c r="E38" s="1010"/>
    </row>
    <row r="39" spans="1:5" ht="11.25" customHeight="1" x14ac:dyDescent="0.25">
      <c r="E39" s="715"/>
    </row>
    <row r="40" spans="1:5" ht="11.25" customHeight="1" x14ac:dyDescent="0.25">
      <c r="A40" s="1132" t="s">
        <v>976</v>
      </c>
      <c r="B40" s="726" t="s">
        <v>977</v>
      </c>
      <c r="C40" s="726" t="s">
        <v>978</v>
      </c>
      <c r="D40" s="1133" t="s">
        <v>979</v>
      </c>
      <c r="E40" s="1133"/>
    </row>
    <row r="41" spans="1:5" ht="11.25" customHeight="1" x14ac:dyDescent="0.25">
      <c r="A41" s="1132"/>
      <c r="B41" s="727" t="s">
        <v>980</v>
      </c>
      <c r="C41" s="1134" t="s">
        <v>40</v>
      </c>
      <c r="D41" s="1133"/>
      <c r="E41" s="1133"/>
    </row>
    <row r="42" spans="1:5" ht="11.25" customHeight="1" x14ac:dyDescent="0.25">
      <c r="A42" s="1132"/>
      <c r="B42" s="727" t="s">
        <v>981</v>
      </c>
      <c r="C42" s="1134"/>
      <c r="D42" s="1133"/>
      <c r="E42" s="1133"/>
    </row>
    <row r="43" spans="1:5" ht="11.25" customHeight="1" x14ac:dyDescent="0.25">
      <c r="A43" s="1132"/>
      <c r="B43" s="728" t="s">
        <v>41</v>
      </c>
      <c r="C43" s="728" t="s">
        <v>42</v>
      </c>
      <c r="D43" s="1135" t="s">
        <v>43</v>
      </c>
      <c r="E43" s="1135"/>
    </row>
    <row r="44" spans="1:5" ht="11.25" customHeight="1" x14ac:dyDescent="0.25">
      <c r="A44" s="714" t="s">
        <v>982</v>
      </c>
      <c r="B44" s="729"/>
      <c r="C44" s="478">
        <v>2075532.55</v>
      </c>
      <c r="D44" s="1130">
        <f>IF(B44="",0,IF(B44=0,0,+C44/B44))</f>
        <v>0</v>
      </c>
      <c r="E44" s="1130"/>
    </row>
    <row r="45" spans="1:5" ht="11.25" customHeight="1" x14ac:dyDescent="0.25">
      <c r="A45" s="719" t="s">
        <v>983</v>
      </c>
      <c r="B45" s="730"/>
      <c r="C45" s="731">
        <v>2481940.92</v>
      </c>
      <c r="D45" s="1131">
        <f>IF(B45="",0,IF(B45=0,0,+C45/B45))</f>
        <v>0</v>
      </c>
      <c r="E45" s="1131"/>
    </row>
    <row r="47" spans="1:5" ht="11.25" customHeight="1" x14ac:dyDescent="0.25">
      <c r="A47" s="1132" t="s">
        <v>984</v>
      </c>
      <c r="B47" s="1123" t="s">
        <v>985</v>
      </c>
      <c r="C47" s="726" t="s">
        <v>986</v>
      </c>
      <c r="D47" s="732" t="s">
        <v>987</v>
      </c>
      <c r="E47" s="726" t="s">
        <v>988</v>
      </c>
    </row>
    <row r="48" spans="1:5" ht="11.25" customHeight="1" x14ac:dyDescent="0.25">
      <c r="A48" s="1132"/>
      <c r="B48" s="1123"/>
      <c r="C48" s="728" t="s">
        <v>40</v>
      </c>
      <c r="D48" s="733" t="s">
        <v>40</v>
      </c>
      <c r="E48" s="728" t="s">
        <v>989</v>
      </c>
    </row>
    <row r="49" spans="1:59" ht="11.25" customHeight="1" x14ac:dyDescent="0.25">
      <c r="A49" s="714" t="s">
        <v>990</v>
      </c>
      <c r="B49" s="734">
        <f>SUM(B50:B54)</f>
        <v>543156.38</v>
      </c>
      <c r="C49" s="734">
        <f>SUM(C50:C54)</f>
        <v>0</v>
      </c>
      <c r="D49" s="734">
        <f>SUM(D50:D54)</f>
        <v>425131.96</v>
      </c>
      <c r="E49" s="734">
        <f>SUM(E50:E54)</f>
        <v>118024.42</v>
      </c>
    </row>
    <row r="50" spans="1:59" ht="11.25" customHeight="1" x14ac:dyDescent="0.25">
      <c r="A50" s="714" t="s">
        <v>991</v>
      </c>
      <c r="B50" s="729">
        <v>543156.38</v>
      </c>
      <c r="C50" s="729"/>
      <c r="D50" s="729">
        <v>425131.96</v>
      </c>
      <c r="E50" s="729">
        <v>118024.42</v>
      </c>
    </row>
    <row r="51" spans="1:59" ht="11.25" customHeight="1" x14ac:dyDescent="0.25">
      <c r="A51" s="714" t="s">
        <v>992</v>
      </c>
      <c r="B51" s="729"/>
      <c r="C51" s="729"/>
      <c r="D51" s="729"/>
      <c r="E51" s="729"/>
    </row>
    <row r="52" spans="1:59" ht="11.25" customHeight="1" x14ac:dyDescent="0.25">
      <c r="A52" s="714" t="s">
        <v>993</v>
      </c>
      <c r="B52" s="729"/>
      <c r="C52" s="729"/>
      <c r="D52" s="729"/>
      <c r="E52" s="729"/>
    </row>
    <row r="53" spans="1:59" ht="11.25" customHeight="1" x14ac:dyDescent="0.25">
      <c r="A53" s="714" t="s">
        <v>994</v>
      </c>
      <c r="B53" s="729"/>
      <c r="C53" s="729"/>
      <c r="D53" s="729"/>
      <c r="E53" s="729"/>
    </row>
    <row r="54" spans="1:59" ht="11.25" customHeight="1" x14ac:dyDescent="0.25">
      <c r="A54" s="714" t="s">
        <v>995</v>
      </c>
      <c r="B54" s="729"/>
      <c r="C54" s="729"/>
      <c r="D54" s="729"/>
      <c r="E54" s="729"/>
    </row>
    <row r="55" spans="1:59" ht="11.25" customHeight="1" x14ac:dyDescent="0.25">
      <c r="A55" s="714" t="s">
        <v>996</v>
      </c>
      <c r="B55" s="734">
        <f>SUM(B56:B60)</f>
        <v>0</v>
      </c>
      <c r="C55" s="734">
        <f>SUM(C56:C60)</f>
        <v>0</v>
      </c>
      <c r="D55" s="734">
        <f>SUM(D56:D60)</f>
        <v>0</v>
      </c>
      <c r="E55" s="734">
        <f>SUM(E56:E60)</f>
        <v>0</v>
      </c>
    </row>
    <row r="56" spans="1:59" ht="11.25" customHeight="1" x14ac:dyDescent="0.25">
      <c r="A56" s="714" t="s">
        <v>991</v>
      </c>
      <c r="B56" s="729"/>
      <c r="C56" s="478"/>
      <c r="D56" s="478"/>
      <c r="E56" s="735"/>
    </row>
    <row r="57" spans="1:59" ht="11.25" customHeight="1" x14ac:dyDescent="0.25">
      <c r="A57" s="714" t="s">
        <v>992</v>
      </c>
      <c r="B57" s="729"/>
      <c r="C57" s="478"/>
      <c r="D57" s="478"/>
      <c r="E57" s="735"/>
    </row>
    <row r="58" spans="1:59" ht="11.25" customHeight="1" x14ac:dyDescent="0.25">
      <c r="A58" s="714" t="s">
        <v>993</v>
      </c>
      <c r="B58" s="729"/>
      <c r="C58" s="478"/>
      <c r="D58" s="478"/>
      <c r="E58" s="735"/>
    </row>
    <row r="59" spans="1:59" ht="11.25" customHeight="1" x14ac:dyDescent="0.25">
      <c r="A59" s="714" t="s">
        <v>994</v>
      </c>
      <c r="B59" s="729"/>
      <c r="C59" s="478"/>
      <c r="D59" s="736"/>
      <c r="E59" s="737"/>
    </row>
    <row r="60" spans="1:59" ht="11.25" customHeight="1" x14ac:dyDescent="0.25">
      <c r="A60" s="714" t="s">
        <v>995</v>
      </c>
      <c r="B60" s="729"/>
      <c r="C60" s="478"/>
      <c r="D60" s="736"/>
      <c r="E60" s="737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738" t="s">
        <v>894</v>
      </c>
      <c r="B61" s="739">
        <f>+B55+B49</f>
        <v>543156.38</v>
      </c>
      <c r="C61" s="739">
        <f>+C55+C49</f>
        <v>0</v>
      </c>
      <c r="D61" s="739">
        <f>+D55+D49</f>
        <v>425131.96</v>
      </c>
      <c r="E61" s="739">
        <f>+E55+E49</f>
        <v>118024.42</v>
      </c>
    </row>
    <row r="62" spans="1:59" ht="11.25" customHeight="1" x14ac:dyDescent="0.25">
      <c r="A62" s="740"/>
      <c r="B62" s="1125" t="s">
        <v>997</v>
      </c>
      <c r="C62" s="1126" t="s">
        <v>998</v>
      </c>
      <c r="D62" s="1126"/>
      <c r="E62" s="1126"/>
    </row>
    <row r="63" spans="1:59" ht="11.25" customHeight="1" x14ac:dyDescent="0.25">
      <c r="A63" s="741" t="s">
        <v>999</v>
      </c>
      <c r="B63" s="1125"/>
      <c r="C63" s="1125" t="s">
        <v>1000</v>
      </c>
      <c r="D63" s="1123" t="s">
        <v>1001</v>
      </c>
      <c r="E63" s="1123"/>
    </row>
    <row r="64" spans="1:59" ht="11.25" customHeight="1" x14ac:dyDescent="0.25">
      <c r="A64" s="742"/>
      <c r="B64" s="1125"/>
      <c r="C64" s="1125"/>
      <c r="D64" s="1123"/>
      <c r="E64" s="1123"/>
    </row>
    <row r="65" spans="1:5" ht="11.25" customHeight="1" x14ac:dyDescent="0.25">
      <c r="A65" s="714" t="s">
        <v>1002</v>
      </c>
      <c r="B65" s="735"/>
      <c r="C65" s="743">
        <v>0.25</v>
      </c>
      <c r="D65" s="1127">
        <v>0.26500000000000001</v>
      </c>
      <c r="E65" s="1127"/>
    </row>
    <row r="66" spans="1:5" ht="13" customHeight="1" x14ac:dyDescent="0.25">
      <c r="A66" s="714" t="s">
        <v>1003</v>
      </c>
      <c r="B66" s="735"/>
      <c r="C66" s="743">
        <v>0.6</v>
      </c>
      <c r="D66" s="1128"/>
      <c r="E66" s="1128"/>
    </row>
    <row r="67" spans="1:5" ht="11.25" customHeight="1" x14ac:dyDescent="0.25">
      <c r="A67" s="714" t="s">
        <v>1004</v>
      </c>
      <c r="B67" s="735"/>
      <c r="C67" s="743">
        <v>0.6</v>
      </c>
      <c r="D67" s="1128">
        <v>1.0524</v>
      </c>
      <c r="E67" s="1128"/>
    </row>
    <row r="68" spans="1:5" ht="11.25" customHeight="1" x14ac:dyDescent="0.25">
      <c r="A68" s="719" t="s">
        <v>1005</v>
      </c>
      <c r="B68" s="744"/>
      <c r="C68" s="745" t="s">
        <v>1006</v>
      </c>
      <c r="D68" s="1129"/>
      <c r="E68" s="1129"/>
    </row>
    <row r="69" spans="1:5" s="712" customFormat="1" ht="21.75" customHeight="1" x14ac:dyDescent="0.25">
      <c r="A69" s="746" t="s">
        <v>1007</v>
      </c>
      <c r="B69" s="1123" t="s">
        <v>1008</v>
      </c>
      <c r="C69" s="1123"/>
      <c r="D69" s="1123" t="s">
        <v>1009</v>
      </c>
      <c r="E69" s="1123"/>
    </row>
    <row r="70" spans="1:5" ht="11.25" customHeight="1" x14ac:dyDescent="0.25">
      <c r="A70" s="747" t="s">
        <v>1010</v>
      </c>
      <c r="B70" s="1016">
        <v>6289855.8099999996</v>
      </c>
      <c r="C70" s="1016"/>
      <c r="D70" s="1016"/>
      <c r="E70" s="1016"/>
    </row>
    <row r="71" spans="1:5" ht="11.25" customHeight="1" x14ac:dyDescent="0.25">
      <c r="A71" s="719" t="s">
        <v>1011</v>
      </c>
      <c r="B71" s="1009"/>
      <c r="C71" s="1009"/>
      <c r="D71" s="1009"/>
      <c r="E71" s="1009"/>
    </row>
    <row r="72" spans="1:5" s="712" customFormat="1" ht="21.75" customHeight="1" x14ac:dyDescent="0.25">
      <c r="A72" s="710" t="s">
        <v>1012</v>
      </c>
      <c r="B72" s="711" t="s">
        <v>1013</v>
      </c>
      <c r="C72" s="748" t="s">
        <v>1014</v>
      </c>
      <c r="D72" s="711" t="s">
        <v>1015</v>
      </c>
      <c r="E72" s="711" t="s">
        <v>1016</v>
      </c>
    </row>
    <row r="73" spans="1:5" ht="11.25" customHeight="1" x14ac:dyDescent="0.25">
      <c r="A73" s="714" t="s">
        <v>968</v>
      </c>
      <c r="B73" s="461"/>
      <c r="C73" s="461"/>
      <c r="D73" s="461"/>
      <c r="E73" s="461"/>
    </row>
    <row r="74" spans="1:5" ht="11.25" customHeight="1" x14ac:dyDescent="0.25">
      <c r="A74" s="714" t="s">
        <v>1017</v>
      </c>
      <c r="B74" s="735"/>
      <c r="C74" s="735"/>
      <c r="D74" s="735"/>
      <c r="E74" s="735"/>
    </row>
    <row r="75" spans="1:5" ht="11.25" customHeight="1" x14ac:dyDescent="0.25">
      <c r="A75" s="714" t="s">
        <v>1018</v>
      </c>
      <c r="B75" s="735"/>
      <c r="C75" s="735"/>
      <c r="D75" s="735"/>
      <c r="E75" s="735"/>
    </row>
    <row r="76" spans="1:5" ht="11.25" customHeight="1" x14ac:dyDescent="0.25">
      <c r="A76" s="714" t="s">
        <v>971</v>
      </c>
      <c r="B76" s="464">
        <f>+B74-B75</f>
        <v>0</v>
      </c>
      <c r="C76" s="464">
        <f>+C74-C75</f>
        <v>0</v>
      </c>
      <c r="D76" s="464">
        <f>+D74-D75</f>
        <v>0</v>
      </c>
      <c r="E76" s="464">
        <f>+E74-E75</f>
        <v>0</v>
      </c>
    </row>
    <row r="77" spans="1:5" ht="11.25" customHeight="1" x14ac:dyDescent="0.25">
      <c r="A77" s="714" t="s">
        <v>972</v>
      </c>
      <c r="B77" s="735"/>
      <c r="C77" s="735"/>
      <c r="D77" s="735"/>
      <c r="E77" s="735"/>
    </row>
    <row r="78" spans="1:5" ht="11.25" customHeight="1" x14ac:dyDescent="0.25">
      <c r="A78" s="714" t="s">
        <v>1019</v>
      </c>
      <c r="B78" s="735"/>
      <c r="C78" s="735"/>
      <c r="D78" s="735"/>
      <c r="E78" s="735"/>
    </row>
    <row r="79" spans="1:5" ht="11.25" customHeight="1" x14ac:dyDescent="0.25">
      <c r="A79" s="714" t="s">
        <v>1020</v>
      </c>
      <c r="B79" s="735"/>
      <c r="C79" s="735"/>
      <c r="D79" s="735"/>
      <c r="E79" s="735"/>
    </row>
    <row r="80" spans="1:5" ht="11.25" customHeight="1" x14ac:dyDescent="0.25">
      <c r="A80" s="714" t="s">
        <v>975</v>
      </c>
      <c r="B80" s="464">
        <f>+B78-B79</f>
        <v>0</v>
      </c>
      <c r="C80" s="464">
        <f>+C78-C79</f>
        <v>0</v>
      </c>
      <c r="D80" s="464">
        <f>+D78-D79</f>
        <v>0</v>
      </c>
      <c r="E80" s="464">
        <f>+E78-E79</f>
        <v>0</v>
      </c>
    </row>
    <row r="81" spans="1:21" s="712" customFormat="1" ht="21" customHeight="1" x14ac:dyDescent="0.25">
      <c r="A81" s="710" t="s">
        <v>1021</v>
      </c>
      <c r="B81" s="1123" t="s">
        <v>1022</v>
      </c>
      <c r="C81" s="1123"/>
      <c r="D81" s="1123" t="s">
        <v>1023</v>
      </c>
      <c r="E81" s="1123"/>
    </row>
    <row r="82" spans="1:21" ht="11.25" customHeight="1" x14ac:dyDescent="0.25">
      <c r="A82" s="714" t="s">
        <v>1024</v>
      </c>
      <c r="B82" s="1016"/>
      <c r="C82" s="1016"/>
      <c r="D82" s="1016"/>
      <c r="E82" s="1016"/>
    </row>
    <row r="83" spans="1:21" ht="11.25" customHeight="1" x14ac:dyDescent="0.25">
      <c r="A83" s="719" t="s">
        <v>1025</v>
      </c>
      <c r="B83" s="1009"/>
      <c r="C83" s="1009"/>
      <c r="D83" s="1009"/>
      <c r="E83" s="1009"/>
    </row>
    <row r="84" spans="1:21" ht="11.25" customHeight="1" x14ac:dyDescent="0.25">
      <c r="A84" s="455"/>
      <c r="B84" s="455"/>
    </row>
    <row r="85" spans="1:21" ht="11.25" customHeight="1" x14ac:dyDescent="0.25">
      <c r="A85" s="1118" t="s">
        <v>1026</v>
      </c>
      <c r="B85" s="1125" t="s">
        <v>997</v>
      </c>
      <c r="C85" s="1126" t="s">
        <v>1027</v>
      </c>
      <c r="D85" s="1126"/>
      <c r="E85" s="1126"/>
    </row>
    <row r="86" spans="1:21" ht="11.25" customHeight="1" x14ac:dyDescent="0.25">
      <c r="A86" s="1118"/>
      <c r="B86" s="1125"/>
      <c r="C86" s="1125" t="s">
        <v>1000</v>
      </c>
      <c r="D86" s="1123" t="s">
        <v>1001</v>
      </c>
      <c r="E86" s="1123"/>
    </row>
    <row r="87" spans="1:21" ht="11.25" customHeight="1" x14ac:dyDescent="0.25">
      <c r="A87" s="1118"/>
      <c r="B87" s="1125"/>
      <c r="C87" s="1125"/>
      <c r="D87" s="1123"/>
      <c r="E87" s="1123"/>
    </row>
    <row r="88" spans="1:21" ht="11.25" customHeight="1" x14ac:dyDescent="0.25">
      <c r="A88" s="738" t="s">
        <v>1028</v>
      </c>
      <c r="B88" s="749">
        <v>1186129.99</v>
      </c>
      <c r="C88" s="750"/>
      <c r="D88" s="1122">
        <v>0.2099</v>
      </c>
      <c r="E88" s="1122"/>
    </row>
    <row r="89" spans="1:21" ht="11.25" customHeight="1" x14ac:dyDescent="0.25">
      <c r="A89" s="721"/>
      <c r="B89" s="721"/>
      <c r="C89" s="751"/>
      <c r="D89" s="721"/>
      <c r="E89" s="721"/>
    </row>
    <row r="90" spans="1:21" s="712" customFormat="1" ht="21.75" customHeight="1" x14ac:dyDescent="0.25">
      <c r="A90" s="752" t="s">
        <v>1029</v>
      </c>
      <c r="B90" s="1123" t="s">
        <v>1030</v>
      </c>
      <c r="C90" s="1123"/>
      <c r="D90" s="1123"/>
      <c r="E90" s="1123"/>
    </row>
    <row r="91" spans="1:21" ht="11.25" customHeight="1" x14ac:dyDescent="0.25">
      <c r="A91" s="753" t="s">
        <v>1031</v>
      </c>
      <c r="B91" s="1122"/>
      <c r="C91" s="1122"/>
      <c r="D91" s="1122"/>
      <c r="E91" s="1122"/>
    </row>
    <row r="92" spans="1:21" ht="25.5" customHeight="1" x14ac:dyDescent="0.25">
      <c r="A92" s="1124" t="s">
        <v>155</v>
      </c>
      <c r="B92" s="1124"/>
      <c r="C92" s="1124"/>
      <c r="D92" s="1124"/>
      <c r="E92" s="1124"/>
      <c r="F92" s="754"/>
      <c r="G92" s="754"/>
      <c r="H92" s="754"/>
      <c r="I92" s="754"/>
      <c r="J92" s="754"/>
      <c r="K92" s="754"/>
      <c r="L92" s="754"/>
      <c r="M92" s="754"/>
      <c r="N92" s="754"/>
      <c r="O92" s="754"/>
      <c r="P92" s="754"/>
      <c r="Q92" s="754"/>
      <c r="R92" s="754"/>
      <c r="S92" s="754"/>
      <c r="T92" s="754"/>
      <c r="U92" s="754"/>
    </row>
  </sheetData>
  <sheetProtection password="F3F6" sheet="1"/>
  <mergeCells count="70">
    <mergeCell ref="A1:E1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showGridLines="0" topLeftCell="A88" zoomScale="80" zoomScaleNormal="80" workbookViewId="0">
      <selection activeCell="D106" sqref="D106"/>
    </sheetView>
  </sheetViews>
  <sheetFormatPr defaultColWidth="9.1796875" defaultRowHeight="11.25" customHeight="1" x14ac:dyDescent="0.3"/>
  <cols>
    <col min="1" max="1" width="47.1796875" style="16" customWidth="1"/>
    <col min="2" max="5" width="17.81640625" style="16" customWidth="1"/>
    <col min="6" max="6" width="18.1796875" style="16" customWidth="1"/>
    <col min="7" max="8" width="17.81640625" style="16" customWidth="1"/>
    <col min="9" max="9" width="18.1796875" style="16" customWidth="1"/>
    <col min="10" max="10" width="17.81640625" style="16" customWidth="1"/>
    <col min="11" max="11" width="13" style="16" customWidth="1"/>
    <col min="12" max="12" width="22.453125" style="16" customWidth="1"/>
    <col min="13" max="13" width="42" style="16" customWidth="1"/>
    <col min="14" max="14" width="18.54296875" style="16" customWidth="1"/>
    <col min="15" max="15" width="6.54296875" style="16" customWidth="1"/>
    <col min="16" max="17" width="15.453125" style="16" customWidth="1"/>
    <col min="18" max="18" width="22" style="16" customWidth="1"/>
    <col min="19" max="19" width="13.453125" style="16" customWidth="1"/>
    <col min="20" max="16384" width="9.1796875" style="16"/>
  </cols>
  <sheetData>
    <row r="1" spans="1:13" ht="15.75" customHeight="1" x14ac:dyDescent="0.3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11.25" customHeight="1" x14ac:dyDescent="0.3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1.25" customHeight="1" x14ac:dyDescent="0.3">
      <c r="A3" s="801" t="str">
        <f>+'Informações Iniciais'!A1</f>
        <v>ESTADO DO MARANHÃO - PREFEITURA MUNICIPAL DE DAVINOPOLIS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</row>
    <row r="4" spans="1:13" ht="11.25" customHeight="1" x14ac:dyDescent="0.3">
      <c r="A4" s="802" t="s">
        <v>1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18"/>
    </row>
    <row r="5" spans="1:13" ht="11.25" customHeight="1" x14ac:dyDescent="0.3">
      <c r="A5" s="803" t="s">
        <v>29</v>
      </c>
      <c r="B5" s="803"/>
      <c r="C5" s="803"/>
      <c r="D5" s="803"/>
      <c r="E5" s="803"/>
      <c r="F5" s="803"/>
      <c r="G5" s="803"/>
      <c r="H5" s="803"/>
      <c r="I5" s="803"/>
      <c r="J5" s="803"/>
      <c r="K5" s="803"/>
      <c r="L5" s="18"/>
    </row>
    <row r="6" spans="1:13" ht="11.25" customHeight="1" x14ac:dyDescent="0.3">
      <c r="A6" s="804" t="s">
        <v>30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18"/>
    </row>
    <row r="7" spans="1:13" ht="11.25" customHeight="1" x14ac:dyDescent="0.3">
      <c r="A7" s="801" t="str">
        <f>+'Informações Iniciais'!A5</f>
        <v>2º Bimestre de 2017</v>
      </c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</row>
    <row r="8" spans="1:13" ht="11.25" customHeight="1" x14ac:dyDescent="0.3">
      <c r="A8" s="20"/>
      <c r="B8" s="20"/>
      <c r="C8" s="20"/>
      <c r="D8" s="20"/>
      <c r="E8" s="20"/>
      <c r="F8" s="20"/>
      <c r="G8" s="20"/>
      <c r="H8" s="21"/>
      <c r="I8" s="21"/>
      <c r="J8" s="22"/>
      <c r="K8" s="22"/>
      <c r="L8" s="18"/>
    </row>
    <row r="9" spans="1:13" ht="11.25" customHeight="1" x14ac:dyDescent="0.3">
      <c r="A9" s="23" t="s">
        <v>31</v>
      </c>
      <c r="B9" s="24"/>
      <c r="C9" s="24"/>
      <c r="D9" s="24"/>
      <c r="E9" s="25"/>
      <c r="F9" s="24"/>
      <c r="G9" s="24"/>
      <c r="H9" s="26"/>
      <c r="I9" s="22"/>
      <c r="J9" s="27"/>
      <c r="K9" s="18"/>
      <c r="L9" s="27" t="s">
        <v>32</v>
      </c>
    </row>
    <row r="10" spans="1:13" ht="11.25" customHeight="1" x14ac:dyDescent="0.3">
      <c r="A10" s="805" t="s">
        <v>33</v>
      </c>
      <c r="B10" s="806" t="s">
        <v>34</v>
      </c>
      <c r="C10" s="806"/>
      <c r="D10" s="786" t="s">
        <v>35</v>
      </c>
      <c r="E10" s="786"/>
      <c r="F10" s="807" t="s">
        <v>36</v>
      </c>
      <c r="G10" s="807"/>
      <c r="H10" s="807"/>
      <c r="I10" s="807"/>
      <c r="J10" s="807"/>
      <c r="K10" s="807"/>
      <c r="L10" s="808" t="s">
        <v>37</v>
      </c>
      <c r="M10" s="28"/>
    </row>
    <row r="11" spans="1:13" ht="12.75" customHeight="1" x14ac:dyDescent="0.3">
      <c r="A11" s="805"/>
      <c r="B11" s="806"/>
      <c r="C11" s="806"/>
      <c r="D11" s="786"/>
      <c r="E11" s="786"/>
      <c r="F11" s="788" t="s">
        <v>38</v>
      </c>
      <c r="G11" s="788"/>
      <c r="H11" s="30" t="s">
        <v>39</v>
      </c>
      <c r="I11" s="789" t="s">
        <v>40</v>
      </c>
      <c r="J11" s="789"/>
      <c r="K11" s="31" t="s">
        <v>39</v>
      </c>
      <c r="L11" s="808"/>
    </row>
    <row r="12" spans="1:13" ht="11.25" customHeight="1" x14ac:dyDescent="0.3">
      <c r="A12" s="805"/>
      <c r="B12" s="806"/>
      <c r="C12" s="806"/>
      <c r="D12" s="783" t="s">
        <v>41</v>
      </c>
      <c r="E12" s="783"/>
      <c r="F12" s="783" t="s">
        <v>42</v>
      </c>
      <c r="G12" s="783"/>
      <c r="H12" s="33" t="s">
        <v>43</v>
      </c>
      <c r="I12" s="783" t="s">
        <v>44</v>
      </c>
      <c r="J12" s="783"/>
      <c r="K12" s="34" t="s">
        <v>45</v>
      </c>
      <c r="L12" s="32" t="s">
        <v>46</v>
      </c>
    </row>
    <row r="13" spans="1:13" ht="12.75" customHeight="1" x14ac:dyDescent="0.3">
      <c r="A13" s="35" t="s">
        <v>47</v>
      </c>
      <c r="B13" s="784">
        <f>+B14+B54</f>
        <v>36977490.150000006</v>
      </c>
      <c r="C13" s="784"/>
      <c r="D13" s="784">
        <f>+D14+D54</f>
        <v>36977480.150000006</v>
      </c>
      <c r="E13" s="784"/>
      <c r="F13" s="784">
        <f>+F14+F54</f>
        <v>3558930.02</v>
      </c>
      <c r="G13" s="784"/>
      <c r="H13" s="36">
        <f t="shared" ref="H13:H76" si="0">IF(D13="",0,IF(D13=0,0,+F13/D13))</f>
        <v>9.6245877370851607E-2</v>
      </c>
      <c r="I13" s="784">
        <f>+I14+I54</f>
        <v>8110831.4500000011</v>
      </c>
      <c r="J13" s="784"/>
      <c r="K13" s="36">
        <f t="shared" ref="K13:K76" si="1">IF(D13="",0,IF(D13=0,0,I13/D13))</f>
        <v>0.21934516405926593</v>
      </c>
      <c r="L13" s="37">
        <f t="shared" ref="L13:L75" si="2">+D13-I13</f>
        <v>28866648.700000003</v>
      </c>
    </row>
    <row r="14" spans="1:13" ht="12.75" customHeight="1" x14ac:dyDescent="0.3">
      <c r="A14" s="38" t="s">
        <v>48</v>
      </c>
      <c r="B14" s="781">
        <f>+B15+B19+B23+B31+B35+B40+B41+B48</f>
        <v>41477832.020000003</v>
      </c>
      <c r="C14" s="781"/>
      <c r="D14" s="781">
        <f>+D15+D19+D23+D31+D35+D40+D41+D48</f>
        <v>41477822.020000003</v>
      </c>
      <c r="E14" s="781"/>
      <c r="F14" s="781">
        <f>+F15+F19+F23+F31+F35+F40+F41+F48</f>
        <v>3886845.37</v>
      </c>
      <c r="G14" s="781"/>
      <c r="H14" s="39">
        <f t="shared" si="0"/>
        <v>9.3709003527856882E-2</v>
      </c>
      <c r="I14" s="781">
        <f>+I15+I19+I23+I31+I35+I40+I41+I48</f>
        <v>8844181.4700000007</v>
      </c>
      <c r="J14" s="781"/>
      <c r="K14" s="39">
        <f t="shared" si="1"/>
        <v>0.21322675683731573</v>
      </c>
      <c r="L14" s="40">
        <f t="shared" si="2"/>
        <v>32633640.550000004</v>
      </c>
    </row>
    <row r="15" spans="1:13" ht="12.75" customHeight="1" x14ac:dyDescent="0.3">
      <c r="A15" s="41" t="s">
        <v>49</v>
      </c>
      <c r="B15" s="773">
        <f>SUM(B16:C18)</f>
        <v>515074.07</v>
      </c>
      <c r="C15" s="773"/>
      <c r="D15" s="773">
        <f>SUM(D16:E18)</f>
        <v>515074.07</v>
      </c>
      <c r="E15" s="773"/>
      <c r="F15" s="773">
        <f>SUM(F16:G18)</f>
        <v>183056.57</v>
      </c>
      <c r="G15" s="773"/>
      <c r="H15" s="42">
        <f t="shared" si="0"/>
        <v>0.35539853520484926</v>
      </c>
      <c r="I15" s="773">
        <f>SUM(I16:J18)</f>
        <v>335843.49</v>
      </c>
      <c r="J15" s="773"/>
      <c r="K15" s="42">
        <f t="shared" si="1"/>
        <v>0.65202950325183329</v>
      </c>
      <c r="L15" s="43">
        <f t="shared" si="2"/>
        <v>179230.58000000002</v>
      </c>
    </row>
    <row r="16" spans="1:13" ht="12.75" customHeight="1" x14ac:dyDescent="0.3">
      <c r="A16" s="44" t="s">
        <v>50</v>
      </c>
      <c r="B16" s="770">
        <v>453181.07</v>
      </c>
      <c r="C16" s="770"/>
      <c r="D16" s="770">
        <v>453181.07</v>
      </c>
      <c r="E16" s="770"/>
      <c r="F16" s="770">
        <v>156960.53</v>
      </c>
      <c r="G16" s="770"/>
      <c r="H16" s="45">
        <f t="shared" si="0"/>
        <v>0.34635279448014011</v>
      </c>
      <c r="I16" s="770">
        <v>309747.45</v>
      </c>
      <c r="J16" s="770"/>
      <c r="K16" s="45">
        <f t="shared" si="1"/>
        <v>0.68349600304355163</v>
      </c>
      <c r="L16" s="46">
        <f t="shared" si="2"/>
        <v>143433.62</v>
      </c>
    </row>
    <row r="17" spans="1:12" ht="12.75" customHeight="1" x14ac:dyDescent="0.3">
      <c r="A17" s="44" t="s">
        <v>51</v>
      </c>
      <c r="B17" s="770">
        <v>44436</v>
      </c>
      <c r="C17" s="770"/>
      <c r="D17" s="770">
        <v>44436</v>
      </c>
      <c r="E17" s="770"/>
      <c r="F17" s="770">
        <v>26096.04</v>
      </c>
      <c r="G17" s="770"/>
      <c r="H17" s="45">
        <f t="shared" si="0"/>
        <v>0.58727248177153657</v>
      </c>
      <c r="I17" s="770">
        <v>26096.04</v>
      </c>
      <c r="J17" s="770"/>
      <c r="K17" s="45">
        <f t="shared" si="1"/>
        <v>0.58727248177153657</v>
      </c>
      <c r="L17" s="46">
        <f t="shared" si="2"/>
        <v>18339.96</v>
      </c>
    </row>
    <row r="18" spans="1:12" ht="12.75" customHeight="1" x14ac:dyDescent="0.3">
      <c r="A18" s="44" t="s">
        <v>52</v>
      </c>
      <c r="B18" s="770">
        <v>17457</v>
      </c>
      <c r="C18" s="770"/>
      <c r="D18" s="770">
        <v>17457</v>
      </c>
      <c r="E18" s="770"/>
      <c r="F18" s="770"/>
      <c r="G18" s="770"/>
      <c r="H18" s="45">
        <f t="shared" si="0"/>
        <v>0</v>
      </c>
      <c r="I18" s="770"/>
      <c r="J18" s="770"/>
      <c r="K18" s="45">
        <f t="shared" si="1"/>
        <v>0</v>
      </c>
      <c r="L18" s="46">
        <f t="shared" si="2"/>
        <v>17457</v>
      </c>
    </row>
    <row r="19" spans="1:12" ht="12.75" customHeight="1" x14ac:dyDescent="0.3">
      <c r="A19" s="41" t="s">
        <v>53</v>
      </c>
      <c r="B19" s="773">
        <f>SUM(B20:C22)</f>
        <v>132250</v>
      </c>
      <c r="C19" s="773"/>
      <c r="D19" s="773">
        <f>SUM(D20:E22)</f>
        <v>132250</v>
      </c>
      <c r="E19" s="773"/>
      <c r="F19" s="773">
        <f>SUM(F20:G22)</f>
        <v>0</v>
      </c>
      <c r="G19" s="773"/>
      <c r="H19" s="42">
        <f t="shared" si="0"/>
        <v>0</v>
      </c>
      <c r="I19" s="773">
        <f>SUM(I20:J22)</f>
        <v>0</v>
      </c>
      <c r="J19" s="773"/>
      <c r="K19" s="42">
        <f t="shared" si="1"/>
        <v>0</v>
      </c>
      <c r="L19" s="43">
        <f t="shared" si="2"/>
        <v>132250</v>
      </c>
    </row>
    <row r="20" spans="1:12" ht="12.75" customHeight="1" x14ac:dyDescent="0.3">
      <c r="A20" s="44" t="s">
        <v>54</v>
      </c>
      <c r="B20" s="770"/>
      <c r="C20" s="770"/>
      <c r="D20" s="770"/>
      <c r="E20" s="770"/>
      <c r="F20" s="770"/>
      <c r="G20" s="770"/>
      <c r="H20" s="45">
        <f t="shared" si="0"/>
        <v>0</v>
      </c>
      <c r="I20" s="770"/>
      <c r="J20" s="770"/>
      <c r="K20" s="45">
        <f t="shared" si="1"/>
        <v>0</v>
      </c>
      <c r="L20" s="46">
        <f t="shared" si="2"/>
        <v>0</v>
      </c>
    </row>
    <row r="21" spans="1:12" ht="12.75" customHeight="1" x14ac:dyDescent="0.3">
      <c r="A21" s="44" t="s">
        <v>55</v>
      </c>
      <c r="B21" s="770">
        <v>132250</v>
      </c>
      <c r="C21" s="770"/>
      <c r="D21" s="770">
        <v>132250</v>
      </c>
      <c r="E21" s="770"/>
      <c r="F21" s="770"/>
      <c r="G21" s="770"/>
      <c r="H21" s="45">
        <f t="shared" si="0"/>
        <v>0</v>
      </c>
      <c r="I21" s="770"/>
      <c r="J21" s="770"/>
      <c r="K21" s="45">
        <f t="shared" si="1"/>
        <v>0</v>
      </c>
      <c r="L21" s="46">
        <f t="shared" si="2"/>
        <v>132250</v>
      </c>
    </row>
    <row r="22" spans="1:12" ht="12.75" customHeight="1" x14ac:dyDescent="0.3">
      <c r="A22" s="44" t="s">
        <v>56</v>
      </c>
      <c r="B22" s="770"/>
      <c r="C22" s="770"/>
      <c r="D22" s="770"/>
      <c r="E22" s="770"/>
      <c r="F22" s="770"/>
      <c r="G22" s="770"/>
      <c r="H22" s="45">
        <f t="shared" si="0"/>
        <v>0</v>
      </c>
      <c r="I22" s="770"/>
      <c r="J22" s="770"/>
      <c r="K22" s="45">
        <f t="shared" si="1"/>
        <v>0</v>
      </c>
      <c r="L22" s="46">
        <f t="shared" si="2"/>
        <v>0</v>
      </c>
    </row>
    <row r="23" spans="1:12" ht="12.75" customHeight="1" x14ac:dyDescent="0.3">
      <c r="A23" s="41" t="s">
        <v>57</v>
      </c>
      <c r="B23" s="773">
        <f>SUM(B24:C30)</f>
        <v>100450.48</v>
      </c>
      <c r="C23" s="773"/>
      <c r="D23" s="773">
        <f>SUM(D24:E30)</f>
        <v>100440.48</v>
      </c>
      <c r="E23" s="773"/>
      <c r="F23" s="773">
        <f>SUM(F24:G30)</f>
        <v>11683.53</v>
      </c>
      <c r="G23" s="773"/>
      <c r="H23" s="42">
        <f t="shared" si="0"/>
        <v>0.11632292079846693</v>
      </c>
      <c r="I23" s="773">
        <f>SUM(I24:J30)</f>
        <v>25376.080000000002</v>
      </c>
      <c r="J23" s="773"/>
      <c r="K23" s="42">
        <f t="shared" si="1"/>
        <v>0.25264793636987798</v>
      </c>
      <c r="L23" s="43">
        <f t="shared" si="2"/>
        <v>75064.399999999994</v>
      </c>
    </row>
    <row r="24" spans="1:12" ht="12.75" customHeight="1" x14ac:dyDescent="0.3">
      <c r="A24" s="44" t="s">
        <v>58</v>
      </c>
      <c r="B24" s="770">
        <v>52767.75</v>
      </c>
      <c r="C24" s="770"/>
      <c r="D24" s="770">
        <v>52757.75</v>
      </c>
      <c r="E24" s="770"/>
      <c r="F24" s="770"/>
      <c r="G24" s="770"/>
      <c r="H24" s="45">
        <f t="shared" si="0"/>
        <v>0</v>
      </c>
      <c r="I24" s="770"/>
      <c r="J24" s="770"/>
      <c r="K24" s="45">
        <f t="shared" si="1"/>
        <v>0</v>
      </c>
      <c r="L24" s="46">
        <f t="shared" si="2"/>
        <v>52757.75</v>
      </c>
    </row>
    <row r="25" spans="1:12" ht="12.75" customHeight="1" x14ac:dyDescent="0.3">
      <c r="A25" s="44" t="s">
        <v>59</v>
      </c>
      <c r="B25" s="770">
        <v>40078.36</v>
      </c>
      <c r="C25" s="770"/>
      <c r="D25" s="770">
        <v>40078.36</v>
      </c>
      <c r="E25" s="770"/>
      <c r="F25" s="770">
        <v>11683.53</v>
      </c>
      <c r="G25" s="770"/>
      <c r="H25" s="45">
        <f t="shared" si="0"/>
        <v>0.2915171678681463</v>
      </c>
      <c r="I25" s="770">
        <v>25376.080000000002</v>
      </c>
      <c r="J25" s="770"/>
      <c r="K25" s="45">
        <f t="shared" si="1"/>
        <v>0.63316163635438183</v>
      </c>
      <c r="L25" s="46">
        <f t="shared" si="2"/>
        <v>14702.279999999999</v>
      </c>
    </row>
    <row r="26" spans="1:12" ht="12.75" customHeight="1" x14ac:dyDescent="0.3">
      <c r="A26" s="44" t="s">
        <v>60</v>
      </c>
      <c r="B26" s="770"/>
      <c r="C26" s="770"/>
      <c r="D26" s="770"/>
      <c r="E26" s="770"/>
      <c r="F26" s="770"/>
      <c r="G26" s="770"/>
      <c r="H26" s="45">
        <f t="shared" si="0"/>
        <v>0</v>
      </c>
      <c r="I26" s="770"/>
      <c r="J26" s="770"/>
      <c r="K26" s="45">
        <f t="shared" si="1"/>
        <v>0</v>
      </c>
      <c r="L26" s="46">
        <f t="shared" si="2"/>
        <v>0</v>
      </c>
    </row>
    <row r="27" spans="1:12" ht="12.75" customHeight="1" x14ac:dyDescent="0.3">
      <c r="A27" s="44" t="s">
        <v>61</v>
      </c>
      <c r="B27" s="770"/>
      <c r="C27" s="770"/>
      <c r="D27" s="770"/>
      <c r="E27" s="770"/>
      <c r="F27" s="770"/>
      <c r="G27" s="770"/>
      <c r="H27" s="45">
        <f t="shared" si="0"/>
        <v>0</v>
      </c>
      <c r="I27" s="770"/>
      <c r="J27" s="770"/>
      <c r="K27" s="45">
        <f t="shared" si="1"/>
        <v>0</v>
      </c>
      <c r="L27" s="46">
        <f t="shared" si="2"/>
        <v>0</v>
      </c>
    </row>
    <row r="28" spans="1:12" ht="25.5" customHeight="1" x14ac:dyDescent="0.3">
      <c r="A28" s="47" t="s">
        <v>62</v>
      </c>
      <c r="B28" s="782"/>
      <c r="C28" s="782"/>
      <c r="D28" s="782"/>
      <c r="E28" s="782"/>
      <c r="F28" s="782"/>
      <c r="G28" s="782"/>
      <c r="H28" s="49">
        <f t="shared" si="0"/>
        <v>0</v>
      </c>
      <c r="I28" s="782"/>
      <c r="J28" s="782"/>
      <c r="K28" s="49">
        <f t="shared" si="1"/>
        <v>0</v>
      </c>
      <c r="L28" s="50">
        <f t="shared" si="2"/>
        <v>0</v>
      </c>
    </row>
    <row r="29" spans="1:12" ht="12.75" customHeight="1" x14ac:dyDescent="0.3">
      <c r="A29" s="51" t="s">
        <v>63</v>
      </c>
      <c r="B29" s="770"/>
      <c r="C29" s="770"/>
      <c r="D29" s="770"/>
      <c r="E29" s="770"/>
      <c r="F29" s="770"/>
      <c r="G29" s="770"/>
      <c r="H29" s="45">
        <f t="shared" si="0"/>
        <v>0</v>
      </c>
      <c r="I29" s="770"/>
      <c r="J29" s="770"/>
      <c r="K29" s="45">
        <f t="shared" si="1"/>
        <v>0</v>
      </c>
      <c r="L29" s="46">
        <f t="shared" si="2"/>
        <v>0</v>
      </c>
    </row>
    <row r="30" spans="1:12" ht="12.75" customHeight="1" x14ac:dyDescent="0.3">
      <c r="A30" s="44" t="s">
        <v>64</v>
      </c>
      <c r="B30" s="770">
        <v>7604.37</v>
      </c>
      <c r="C30" s="770"/>
      <c r="D30" s="770">
        <v>7604.37</v>
      </c>
      <c r="E30" s="770"/>
      <c r="F30" s="770"/>
      <c r="G30" s="770"/>
      <c r="H30" s="45">
        <f t="shared" si="0"/>
        <v>0</v>
      </c>
      <c r="I30" s="770"/>
      <c r="J30" s="770"/>
      <c r="K30" s="45">
        <f t="shared" si="1"/>
        <v>0</v>
      </c>
      <c r="L30" s="46">
        <f t="shared" si="2"/>
        <v>7604.37</v>
      </c>
    </row>
    <row r="31" spans="1:12" ht="12.75" customHeight="1" x14ac:dyDescent="0.3">
      <c r="A31" s="41" t="s">
        <v>65</v>
      </c>
      <c r="B31" s="773">
        <f>SUM(B32:C34)</f>
        <v>5627.24</v>
      </c>
      <c r="C31" s="773"/>
      <c r="D31" s="773">
        <f>SUM(D32:E34)</f>
        <v>5627.24</v>
      </c>
      <c r="E31" s="773"/>
      <c r="F31" s="773">
        <f>SUM(F32:G34)</f>
        <v>0</v>
      </c>
      <c r="G31" s="773"/>
      <c r="H31" s="42">
        <f t="shared" si="0"/>
        <v>0</v>
      </c>
      <c r="I31" s="773">
        <f>SUM(I32:J34)</f>
        <v>0</v>
      </c>
      <c r="J31" s="773"/>
      <c r="K31" s="42">
        <f t="shared" si="1"/>
        <v>0</v>
      </c>
      <c r="L31" s="43">
        <f t="shared" si="2"/>
        <v>5627.24</v>
      </c>
    </row>
    <row r="32" spans="1:12" ht="12.75" customHeight="1" x14ac:dyDescent="0.3">
      <c r="A32" s="44" t="s">
        <v>66</v>
      </c>
      <c r="B32" s="770"/>
      <c r="C32" s="770"/>
      <c r="D32" s="770"/>
      <c r="E32" s="770"/>
      <c r="F32" s="770"/>
      <c r="G32" s="770"/>
      <c r="H32" s="45">
        <f t="shared" si="0"/>
        <v>0</v>
      </c>
      <c r="I32" s="770"/>
      <c r="J32" s="770"/>
      <c r="K32" s="45">
        <f t="shared" si="1"/>
        <v>0</v>
      </c>
      <c r="L32" s="46">
        <f t="shared" si="2"/>
        <v>0</v>
      </c>
    </row>
    <row r="33" spans="1:12" ht="12.75" customHeight="1" x14ac:dyDescent="0.3">
      <c r="A33" s="44" t="s">
        <v>67</v>
      </c>
      <c r="B33" s="770"/>
      <c r="C33" s="770"/>
      <c r="D33" s="770"/>
      <c r="E33" s="770"/>
      <c r="F33" s="770"/>
      <c r="G33" s="770"/>
      <c r="H33" s="45">
        <f t="shared" si="0"/>
        <v>0</v>
      </c>
      <c r="I33" s="770"/>
      <c r="J33" s="770"/>
      <c r="K33" s="45">
        <f t="shared" si="1"/>
        <v>0</v>
      </c>
      <c r="L33" s="46">
        <f t="shared" si="2"/>
        <v>0</v>
      </c>
    </row>
    <row r="34" spans="1:12" ht="12.75" customHeight="1" x14ac:dyDescent="0.3">
      <c r="A34" s="44" t="s">
        <v>68</v>
      </c>
      <c r="B34" s="770">
        <v>5627.24</v>
      </c>
      <c r="C34" s="770"/>
      <c r="D34" s="770">
        <v>5627.24</v>
      </c>
      <c r="E34" s="770"/>
      <c r="F34" s="770"/>
      <c r="G34" s="770"/>
      <c r="H34" s="45">
        <f t="shared" si="0"/>
        <v>0</v>
      </c>
      <c r="I34" s="770"/>
      <c r="J34" s="770"/>
      <c r="K34" s="45">
        <f t="shared" si="1"/>
        <v>0</v>
      </c>
      <c r="L34" s="46">
        <f t="shared" si="2"/>
        <v>5627.24</v>
      </c>
    </row>
    <row r="35" spans="1:12" ht="12.75" customHeight="1" x14ac:dyDescent="0.3">
      <c r="A35" s="41" t="s">
        <v>69</v>
      </c>
      <c r="B35" s="773">
        <f>SUM(B36:C39)</f>
        <v>9885.69</v>
      </c>
      <c r="C35" s="773"/>
      <c r="D35" s="773">
        <f>SUM(D36:E39)</f>
        <v>9885.69</v>
      </c>
      <c r="E35" s="773"/>
      <c r="F35" s="773">
        <f>SUM(F36:G39)</f>
        <v>0</v>
      </c>
      <c r="G35" s="773"/>
      <c r="H35" s="42">
        <f t="shared" si="0"/>
        <v>0</v>
      </c>
      <c r="I35" s="773">
        <f>SUM(I36:J39)</f>
        <v>0</v>
      </c>
      <c r="J35" s="773"/>
      <c r="K35" s="42">
        <f t="shared" si="1"/>
        <v>0</v>
      </c>
      <c r="L35" s="43">
        <f t="shared" si="2"/>
        <v>9885.69</v>
      </c>
    </row>
    <row r="36" spans="1:12" ht="12.75" customHeight="1" x14ac:dyDescent="0.3">
      <c r="A36" s="44" t="s">
        <v>70</v>
      </c>
      <c r="B36" s="770"/>
      <c r="C36" s="770"/>
      <c r="D36" s="770"/>
      <c r="E36" s="770"/>
      <c r="F36" s="770"/>
      <c r="G36" s="770"/>
      <c r="H36" s="45">
        <f t="shared" si="0"/>
        <v>0</v>
      </c>
      <c r="I36" s="770"/>
      <c r="J36" s="770"/>
      <c r="K36" s="45">
        <f t="shared" si="1"/>
        <v>0</v>
      </c>
      <c r="L36" s="46">
        <f t="shared" si="2"/>
        <v>0</v>
      </c>
    </row>
    <row r="37" spans="1:12" ht="12.75" customHeight="1" x14ac:dyDescent="0.3">
      <c r="A37" s="44" t="s">
        <v>71</v>
      </c>
      <c r="B37" s="770"/>
      <c r="C37" s="770"/>
      <c r="D37" s="770"/>
      <c r="E37" s="770"/>
      <c r="F37" s="770"/>
      <c r="G37" s="770"/>
      <c r="H37" s="45">
        <f t="shared" si="0"/>
        <v>0</v>
      </c>
      <c r="I37" s="770"/>
      <c r="J37" s="770"/>
      <c r="K37" s="45">
        <f t="shared" si="1"/>
        <v>0</v>
      </c>
      <c r="L37" s="46">
        <f t="shared" si="2"/>
        <v>0</v>
      </c>
    </row>
    <row r="38" spans="1:12" ht="12.75" customHeight="1" x14ac:dyDescent="0.3">
      <c r="A38" s="44" t="s">
        <v>72</v>
      </c>
      <c r="B38" s="770">
        <v>9885.69</v>
      </c>
      <c r="C38" s="770"/>
      <c r="D38" s="770">
        <v>9885.69</v>
      </c>
      <c r="E38" s="770"/>
      <c r="F38" s="770"/>
      <c r="G38" s="770"/>
      <c r="H38" s="45">
        <f t="shared" si="0"/>
        <v>0</v>
      </c>
      <c r="I38" s="770"/>
      <c r="J38" s="770"/>
      <c r="K38" s="45">
        <f t="shared" si="1"/>
        <v>0</v>
      </c>
      <c r="L38" s="46">
        <f t="shared" si="2"/>
        <v>9885.69</v>
      </c>
    </row>
    <row r="39" spans="1:12" ht="12.75" customHeight="1" x14ac:dyDescent="0.3">
      <c r="A39" s="52" t="s">
        <v>73</v>
      </c>
      <c r="B39" s="770"/>
      <c r="C39" s="770"/>
      <c r="D39" s="770"/>
      <c r="E39" s="770"/>
      <c r="F39" s="770"/>
      <c r="G39" s="770"/>
      <c r="H39" s="45">
        <f t="shared" si="0"/>
        <v>0</v>
      </c>
      <c r="I39" s="770"/>
      <c r="J39" s="770"/>
      <c r="K39" s="45">
        <f t="shared" si="1"/>
        <v>0</v>
      </c>
      <c r="L39" s="46">
        <f t="shared" si="2"/>
        <v>0</v>
      </c>
    </row>
    <row r="40" spans="1:12" ht="12.75" customHeight="1" x14ac:dyDescent="0.3">
      <c r="A40" s="41" t="s">
        <v>74</v>
      </c>
      <c r="B40" s="770">
        <v>4258.45</v>
      </c>
      <c r="C40" s="770"/>
      <c r="D40" s="770">
        <v>4258.45</v>
      </c>
      <c r="E40" s="770"/>
      <c r="F40" s="770">
        <v>1054.08</v>
      </c>
      <c r="G40" s="770"/>
      <c r="H40" s="42">
        <f t="shared" si="0"/>
        <v>0.2475266822435393</v>
      </c>
      <c r="I40" s="770">
        <v>1054.08</v>
      </c>
      <c r="J40" s="770"/>
      <c r="K40" s="42">
        <f t="shared" si="1"/>
        <v>0.2475266822435393</v>
      </c>
      <c r="L40" s="43">
        <f t="shared" si="2"/>
        <v>3204.37</v>
      </c>
    </row>
    <row r="41" spans="1:12" ht="12.75" customHeight="1" x14ac:dyDescent="0.3">
      <c r="A41" s="41" t="s">
        <v>75</v>
      </c>
      <c r="B41" s="773">
        <f>SUM(B42:C47)</f>
        <v>40681693.640000001</v>
      </c>
      <c r="C41" s="773"/>
      <c r="D41" s="773">
        <f>SUM(D42:E47)</f>
        <v>40681693.640000001</v>
      </c>
      <c r="E41" s="773"/>
      <c r="F41" s="773">
        <f>SUM(F42:G47)</f>
        <v>3691051.19</v>
      </c>
      <c r="G41" s="773"/>
      <c r="H41" s="42">
        <f t="shared" si="0"/>
        <v>9.0730027679349096E-2</v>
      </c>
      <c r="I41" s="773">
        <f>SUM(I42:J47)</f>
        <v>8481907.8200000003</v>
      </c>
      <c r="J41" s="773"/>
      <c r="K41" s="42">
        <f t="shared" si="1"/>
        <v>0.20849446178563769</v>
      </c>
      <c r="L41" s="43">
        <f t="shared" si="2"/>
        <v>32199785.82</v>
      </c>
    </row>
    <row r="42" spans="1:12" ht="12.75" customHeight="1" x14ac:dyDescent="0.3">
      <c r="A42" s="44" t="s">
        <v>76</v>
      </c>
      <c r="B42" s="770">
        <v>39945061.140000001</v>
      </c>
      <c r="C42" s="770"/>
      <c r="D42" s="770">
        <v>39945061.140000001</v>
      </c>
      <c r="E42" s="770"/>
      <c r="F42" s="770">
        <v>3691051.19</v>
      </c>
      <c r="G42" s="770"/>
      <c r="H42" s="45">
        <f t="shared" si="0"/>
        <v>9.2403192901959835E-2</v>
      </c>
      <c r="I42" s="770">
        <v>8481907.8200000003</v>
      </c>
      <c r="J42" s="770"/>
      <c r="K42" s="45">
        <f t="shared" si="1"/>
        <v>0.21233933752842418</v>
      </c>
      <c r="L42" s="46">
        <f t="shared" si="2"/>
        <v>31463153.32</v>
      </c>
    </row>
    <row r="43" spans="1:12" ht="12.75" customHeight="1" x14ac:dyDescent="0.3">
      <c r="A43" s="44" t="s">
        <v>77</v>
      </c>
      <c r="B43" s="770"/>
      <c r="C43" s="770"/>
      <c r="D43" s="770"/>
      <c r="E43" s="770"/>
      <c r="F43" s="770"/>
      <c r="G43" s="770"/>
      <c r="H43" s="45">
        <f t="shared" si="0"/>
        <v>0</v>
      </c>
      <c r="I43" s="770"/>
      <c r="J43" s="770"/>
      <c r="K43" s="45">
        <f t="shared" si="1"/>
        <v>0</v>
      </c>
      <c r="L43" s="46">
        <f t="shared" si="2"/>
        <v>0</v>
      </c>
    </row>
    <row r="44" spans="1:12" ht="12.75" customHeight="1" x14ac:dyDescent="0.3">
      <c r="A44" s="44" t="s">
        <v>78</v>
      </c>
      <c r="B44" s="770"/>
      <c r="C44" s="770"/>
      <c r="D44" s="770"/>
      <c r="E44" s="770"/>
      <c r="F44" s="770"/>
      <c r="G44" s="770"/>
      <c r="H44" s="45">
        <f t="shared" si="0"/>
        <v>0</v>
      </c>
      <c r="I44" s="770"/>
      <c r="J44" s="770"/>
      <c r="K44" s="45">
        <f t="shared" si="1"/>
        <v>0</v>
      </c>
      <c r="L44" s="46">
        <f t="shared" si="2"/>
        <v>0</v>
      </c>
    </row>
    <row r="45" spans="1:12" ht="12.75" customHeight="1" x14ac:dyDescent="0.3">
      <c r="A45" s="44" t="s">
        <v>79</v>
      </c>
      <c r="B45" s="770"/>
      <c r="C45" s="770"/>
      <c r="D45" s="770"/>
      <c r="E45" s="770"/>
      <c r="F45" s="770"/>
      <c r="G45" s="770"/>
      <c r="H45" s="45">
        <f t="shared" si="0"/>
        <v>0</v>
      </c>
      <c r="I45" s="770"/>
      <c r="J45" s="770"/>
      <c r="K45" s="45">
        <f t="shared" si="1"/>
        <v>0</v>
      </c>
      <c r="L45" s="46">
        <f t="shared" si="2"/>
        <v>0</v>
      </c>
    </row>
    <row r="46" spans="1:12" ht="12.75" customHeight="1" x14ac:dyDescent="0.3">
      <c r="A46" s="44" t="s">
        <v>80</v>
      </c>
      <c r="B46" s="770">
        <v>736632.5</v>
      </c>
      <c r="C46" s="770"/>
      <c r="D46" s="770">
        <v>736632.5</v>
      </c>
      <c r="E46" s="770"/>
      <c r="F46" s="770"/>
      <c r="G46" s="770"/>
      <c r="H46" s="45">
        <f t="shared" si="0"/>
        <v>0</v>
      </c>
      <c r="I46" s="770"/>
      <c r="J46" s="770"/>
      <c r="K46" s="45">
        <f t="shared" si="1"/>
        <v>0</v>
      </c>
      <c r="L46" s="46">
        <f t="shared" si="2"/>
        <v>736632.5</v>
      </c>
    </row>
    <row r="47" spans="1:12" ht="12.75" customHeight="1" x14ac:dyDescent="0.3">
      <c r="A47" s="53" t="s">
        <v>81</v>
      </c>
      <c r="B47" s="770"/>
      <c r="C47" s="770"/>
      <c r="D47" s="770"/>
      <c r="E47" s="770"/>
      <c r="F47" s="770"/>
      <c r="G47" s="770"/>
      <c r="H47" s="45">
        <f t="shared" si="0"/>
        <v>0</v>
      </c>
      <c r="I47" s="770"/>
      <c r="J47" s="770"/>
      <c r="K47" s="45">
        <f t="shared" si="1"/>
        <v>0</v>
      </c>
      <c r="L47" s="46">
        <f t="shared" si="2"/>
        <v>0</v>
      </c>
    </row>
    <row r="48" spans="1:12" ht="12.75" customHeight="1" x14ac:dyDescent="0.3">
      <c r="A48" s="41" t="s">
        <v>82</v>
      </c>
      <c r="B48" s="773">
        <f>SUM(B49:C53)</f>
        <v>28592.449999999997</v>
      </c>
      <c r="C48" s="773"/>
      <c r="D48" s="773">
        <f>SUM(D49:E53)</f>
        <v>28592.449999999997</v>
      </c>
      <c r="E48" s="773"/>
      <c r="F48" s="773">
        <f>SUM(F49:G53)</f>
        <v>0</v>
      </c>
      <c r="G48" s="773"/>
      <c r="H48" s="42">
        <f t="shared" si="0"/>
        <v>0</v>
      </c>
      <c r="I48" s="773">
        <f>SUM(I49:J53)</f>
        <v>0</v>
      </c>
      <c r="J48" s="773"/>
      <c r="K48" s="42">
        <f t="shared" si="1"/>
        <v>0</v>
      </c>
      <c r="L48" s="43">
        <f t="shared" si="2"/>
        <v>28592.449999999997</v>
      </c>
    </row>
    <row r="49" spans="1:12" ht="12.75" customHeight="1" x14ac:dyDescent="0.3">
      <c r="A49" s="44" t="s">
        <v>83</v>
      </c>
      <c r="B49" s="770"/>
      <c r="C49" s="770"/>
      <c r="D49" s="770"/>
      <c r="E49" s="770"/>
      <c r="F49" s="770"/>
      <c r="G49" s="770"/>
      <c r="H49" s="45">
        <f t="shared" si="0"/>
        <v>0</v>
      </c>
      <c r="I49" s="770"/>
      <c r="J49" s="770"/>
      <c r="K49" s="45">
        <f t="shared" si="1"/>
        <v>0</v>
      </c>
      <c r="L49" s="46">
        <f t="shared" si="2"/>
        <v>0</v>
      </c>
    </row>
    <row r="50" spans="1:12" ht="12.75" customHeight="1" x14ac:dyDescent="0.3">
      <c r="A50" s="44" t="s">
        <v>84</v>
      </c>
      <c r="B50" s="770">
        <v>19010.939999999999</v>
      </c>
      <c r="C50" s="770"/>
      <c r="D50" s="770">
        <v>19010.939999999999</v>
      </c>
      <c r="E50" s="770"/>
      <c r="F50" s="770"/>
      <c r="G50" s="770"/>
      <c r="H50" s="45">
        <f t="shared" si="0"/>
        <v>0</v>
      </c>
      <c r="I50" s="770"/>
      <c r="J50" s="770"/>
      <c r="K50" s="45">
        <f t="shared" si="1"/>
        <v>0</v>
      </c>
      <c r="L50" s="46">
        <f t="shared" si="2"/>
        <v>19010.939999999999</v>
      </c>
    </row>
    <row r="51" spans="1:12" ht="12.75" customHeight="1" x14ac:dyDescent="0.3">
      <c r="A51" s="44" t="s">
        <v>85</v>
      </c>
      <c r="B51" s="770">
        <v>9581.51</v>
      </c>
      <c r="C51" s="770"/>
      <c r="D51" s="770">
        <v>9581.51</v>
      </c>
      <c r="E51" s="770"/>
      <c r="F51" s="770"/>
      <c r="G51" s="770"/>
      <c r="H51" s="45">
        <f t="shared" si="0"/>
        <v>0</v>
      </c>
      <c r="I51" s="770"/>
      <c r="J51" s="770"/>
      <c r="K51" s="45">
        <f t="shared" si="1"/>
        <v>0</v>
      </c>
      <c r="L51" s="46">
        <f t="shared" si="2"/>
        <v>9581.51</v>
      </c>
    </row>
    <row r="52" spans="1:12" ht="25.5" customHeight="1" x14ac:dyDescent="0.3">
      <c r="A52" s="47" t="s">
        <v>86</v>
      </c>
      <c r="B52" s="782"/>
      <c r="C52" s="782"/>
      <c r="D52" s="782"/>
      <c r="E52" s="782"/>
      <c r="F52" s="782"/>
      <c r="G52" s="782"/>
      <c r="H52" s="49">
        <f t="shared" si="0"/>
        <v>0</v>
      </c>
      <c r="I52" s="782"/>
      <c r="J52" s="782"/>
      <c r="K52" s="49">
        <f t="shared" si="1"/>
        <v>0</v>
      </c>
      <c r="L52" s="50">
        <f t="shared" si="2"/>
        <v>0</v>
      </c>
    </row>
    <row r="53" spans="1:12" ht="12.75" customHeight="1" x14ac:dyDescent="0.3">
      <c r="A53" s="53" t="s">
        <v>87</v>
      </c>
      <c r="B53" s="770"/>
      <c r="C53" s="770"/>
      <c r="D53" s="770"/>
      <c r="E53" s="770"/>
      <c r="F53" s="770"/>
      <c r="G53" s="770"/>
      <c r="H53" s="45">
        <f t="shared" si="0"/>
        <v>0</v>
      </c>
      <c r="I53" s="770"/>
      <c r="J53" s="770"/>
      <c r="K53" s="45">
        <f t="shared" si="1"/>
        <v>0</v>
      </c>
      <c r="L53" s="46">
        <f t="shared" si="2"/>
        <v>0</v>
      </c>
    </row>
    <row r="54" spans="1:12" ht="12.75" customHeight="1" x14ac:dyDescent="0.3">
      <c r="A54" s="38" t="s">
        <v>88</v>
      </c>
      <c r="B54" s="781">
        <f>+B55+B58+B61+B62+B70</f>
        <v>-4500341.870000001</v>
      </c>
      <c r="C54" s="781"/>
      <c r="D54" s="781">
        <f>+D55+D58+D61+D62+D70</f>
        <v>-4500341.870000001</v>
      </c>
      <c r="E54" s="781"/>
      <c r="F54" s="781">
        <f>+F55+F58+F61+F62+F70</f>
        <v>-327915.34999999998</v>
      </c>
      <c r="G54" s="781"/>
      <c r="H54" s="39">
        <f t="shared" si="0"/>
        <v>7.2864542177547925E-2</v>
      </c>
      <c r="I54" s="781">
        <f>+I55+I58+I61+I62+I70</f>
        <v>-733350.02</v>
      </c>
      <c r="J54" s="781"/>
      <c r="K54" s="39">
        <f t="shared" si="1"/>
        <v>0.16295429129254127</v>
      </c>
      <c r="L54" s="40">
        <f t="shared" si="2"/>
        <v>-3766991.850000001</v>
      </c>
    </row>
    <row r="55" spans="1:12" ht="12.75" customHeight="1" x14ac:dyDescent="0.3">
      <c r="A55" s="41" t="s">
        <v>89</v>
      </c>
      <c r="B55" s="773">
        <f>SUM(B56:C57)</f>
        <v>0</v>
      </c>
      <c r="C55" s="773"/>
      <c r="D55" s="773">
        <f>SUM(D56:E57)</f>
        <v>0</v>
      </c>
      <c r="E55" s="773"/>
      <c r="F55" s="773">
        <f>SUM(F56:G57)</f>
        <v>0</v>
      </c>
      <c r="G55" s="773"/>
      <c r="H55" s="42">
        <f t="shared" si="0"/>
        <v>0</v>
      </c>
      <c r="I55" s="773">
        <f>SUM(I56:J57)</f>
        <v>0</v>
      </c>
      <c r="J55" s="773"/>
      <c r="K55" s="42">
        <f t="shared" si="1"/>
        <v>0</v>
      </c>
      <c r="L55" s="43">
        <f t="shared" si="2"/>
        <v>0</v>
      </c>
    </row>
    <row r="56" spans="1:12" ht="12.75" customHeight="1" x14ac:dyDescent="0.3">
      <c r="A56" s="44" t="s">
        <v>90</v>
      </c>
      <c r="B56" s="770"/>
      <c r="C56" s="770"/>
      <c r="D56" s="770"/>
      <c r="E56" s="770"/>
      <c r="F56" s="770"/>
      <c r="G56" s="770"/>
      <c r="H56" s="45">
        <f t="shared" si="0"/>
        <v>0</v>
      </c>
      <c r="I56" s="770"/>
      <c r="J56" s="770"/>
      <c r="K56" s="45">
        <f t="shared" si="1"/>
        <v>0</v>
      </c>
      <c r="L56" s="46">
        <f t="shared" si="2"/>
        <v>0</v>
      </c>
    </row>
    <row r="57" spans="1:12" ht="12.75" customHeight="1" x14ac:dyDescent="0.3">
      <c r="A57" s="44" t="s">
        <v>91</v>
      </c>
      <c r="B57" s="770"/>
      <c r="C57" s="770"/>
      <c r="D57" s="770"/>
      <c r="E57" s="770"/>
      <c r="F57" s="770"/>
      <c r="G57" s="770"/>
      <c r="H57" s="45">
        <f t="shared" si="0"/>
        <v>0</v>
      </c>
      <c r="I57" s="770"/>
      <c r="J57" s="770"/>
      <c r="K57" s="45">
        <f t="shared" si="1"/>
        <v>0</v>
      </c>
      <c r="L57" s="46">
        <f t="shared" si="2"/>
        <v>0</v>
      </c>
    </row>
    <row r="58" spans="1:12" ht="12.75" customHeight="1" x14ac:dyDescent="0.3">
      <c r="A58" s="41" t="s">
        <v>92</v>
      </c>
      <c r="B58" s="773">
        <f>SUM(B59:C60)</f>
        <v>0</v>
      </c>
      <c r="C58" s="773"/>
      <c r="D58" s="773">
        <f>SUM(D59:E60)</f>
        <v>0</v>
      </c>
      <c r="E58" s="773"/>
      <c r="F58" s="773">
        <f>SUM(F59:G60)</f>
        <v>0</v>
      </c>
      <c r="G58" s="773"/>
      <c r="H58" s="42">
        <f t="shared" si="0"/>
        <v>0</v>
      </c>
      <c r="I58" s="773">
        <f>SUM(I59:J60)</f>
        <v>0</v>
      </c>
      <c r="J58" s="773"/>
      <c r="K58" s="42">
        <f t="shared" si="1"/>
        <v>0</v>
      </c>
      <c r="L58" s="43">
        <f t="shared" si="2"/>
        <v>0</v>
      </c>
    </row>
    <row r="59" spans="1:12" ht="12.75" customHeight="1" x14ac:dyDescent="0.3">
      <c r="A59" s="44" t="s">
        <v>93</v>
      </c>
      <c r="B59" s="770"/>
      <c r="C59" s="770"/>
      <c r="D59" s="770"/>
      <c r="E59" s="770"/>
      <c r="F59" s="770"/>
      <c r="G59" s="770"/>
      <c r="H59" s="45">
        <f t="shared" si="0"/>
        <v>0</v>
      </c>
      <c r="I59" s="770"/>
      <c r="J59" s="770"/>
      <c r="K59" s="45">
        <f t="shared" si="1"/>
        <v>0</v>
      </c>
      <c r="L59" s="46">
        <f t="shared" si="2"/>
        <v>0</v>
      </c>
    </row>
    <row r="60" spans="1:12" ht="12.75" customHeight="1" x14ac:dyDescent="0.3">
      <c r="A60" s="44" t="s">
        <v>94</v>
      </c>
      <c r="B60" s="770"/>
      <c r="C60" s="770"/>
      <c r="D60" s="770"/>
      <c r="E60" s="770"/>
      <c r="F60" s="770"/>
      <c r="G60" s="770"/>
      <c r="H60" s="45">
        <f t="shared" si="0"/>
        <v>0</v>
      </c>
      <c r="I60" s="770"/>
      <c r="J60" s="770"/>
      <c r="K60" s="45">
        <f t="shared" si="1"/>
        <v>0</v>
      </c>
      <c r="L60" s="46">
        <f t="shared" si="2"/>
        <v>0</v>
      </c>
    </row>
    <row r="61" spans="1:12" ht="12.75" customHeight="1" x14ac:dyDescent="0.3">
      <c r="A61" s="41" t="s">
        <v>95</v>
      </c>
      <c r="B61" s="770"/>
      <c r="C61" s="770"/>
      <c r="D61" s="770"/>
      <c r="E61" s="770"/>
      <c r="F61" s="770"/>
      <c r="G61" s="770"/>
      <c r="H61" s="42">
        <f t="shared" si="0"/>
        <v>0</v>
      </c>
      <c r="I61" s="770"/>
      <c r="J61" s="770"/>
      <c r="K61" s="42">
        <f t="shared" si="1"/>
        <v>0</v>
      </c>
      <c r="L61" s="43">
        <f t="shared" si="2"/>
        <v>0</v>
      </c>
    </row>
    <row r="62" spans="1:12" ht="12.75" customHeight="1" x14ac:dyDescent="0.3">
      <c r="A62" s="41" t="s">
        <v>96</v>
      </c>
      <c r="B62" s="773">
        <f>SUM(B63:C69)</f>
        <v>1870901.0699999998</v>
      </c>
      <c r="C62" s="773"/>
      <c r="D62" s="773">
        <f>SUM(D63:E69)</f>
        <v>1870901.0699999998</v>
      </c>
      <c r="E62" s="773"/>
      <c r="F62" s="773">
        <f>SUM(F63:G69)</f>
        <v>0</v>
      </c>
      <c r="G62" s="773"/>
      <c r="H62" s="42">
        <f t="shared" si="0"/>
        <v>0</v>
      </c>
      <c r="I62" s="773">
        <f>SUM(I63:J69)</f>
        <v>0</v>
      </c>
      <c r="J62" s="773"/>
      <c r="K62" s="42">
        <f t="shared" si="1"/>
        <v>0</v>
      </c>
      <c r="L62" s="43">
        <f t="shared" si="2"/>
        <v>1870901.0699999998</v>
      </c>
    </row>
    <row r="63" spans="1:12" ht="12.75" customHeight="1" x14ac:dyDescent="0.3">
      <c r="A63" s="44" t="s">
        <v>76</v>
      </c>
      <c r="B63" s="770">
        <v>476033.87</v>
      </c>
      <c r="C63" s="770"/>
      <c r="D63" s="770">
        <v>476033.87</v>
      </c>
      <c r="E63" s="770"/>
      <c r="F63" s="770"/>
      <c r="G63" s="770"/>
      <c r="H63" s="45">
        <f t="shared" si="0"/>
        <v>0</v>
      </c>
      <c r="I63" s="770"/>
      <c r="J63" s="770"/>
      <c r="K63" s="45">
        <f t="shared" si="1"/>
        <v>0</v>
      </c>
      <c r="L63" s="46">
        <f t="shared" si="2"/>
        <v>476033.87</v>
      </c>
    </row>
    <row r="64" spans="1:12" ht="12.75" customHeight="1" x14ac:dyDescent="0.3">
      <c r="A64" s="44" t="s">
        <v>77</v>
      </c>
      <c r="B64" s="770"/>
      <c r="C64" s="770"/>
      <c r="D64" s="770"/>
      <c r="E64" s="770"/>
      <c r="F64" s="770"/>
      <c r="G64" s="770"/>
      <c r="H64" s="45">
        <f t="shared" si="0"/>
        <v>0</v>
      </c>
      <c r="I64" s="770"/>
      <c r="J64" s="770"/>
      <c r="K64" s="45">
        <f t="shared" si="1"/>
        <v>0</v>
      </c>
      <c r="L64" s="46">
        <f t="shared" si="2"/>
        <v>0</v>
      </c>
    </row>
    <row r="65" spans="1:13" ht="12.75" customHeight="1" x14ac:dyDescent="0.3">
      <c r="A65" s="44" t="s">
        <v>78</v>
      </c>
      <c r="B65" s="770"/>
      <c r="C65" s="770"/>
      <c r="D65" s="770"/>
      <c r="E65" s="770"/>
      <c r="F65" s="770"/>
      <c r="G65" s="770"/>
      <c r="H65" s="45">
        <f t="shared" si="0"/>
        <v>0</v>
      </c>
      <c r="I65" s="770"/>
      <c r="J65" s="770"/>
      <c r="K65" s="45">
        <f t="shared" si="1"/>
        <v>0</v>
      </c>
      <c r="L65" s="46">
        <f t="shared" si="2"/>
        <v>0</v>
      </c>
    </row>
    <row r="66" spans="1:13" ht="12.75" customHeight="1" x14ac:dyDescent="0.3">
      <c r="A66" s="44" t="s">
        <v>79</v>
      </c>
      <c r="B66" s="770"/>
      <c r="C66" s="770"/>
      <c r="D66" s="770"/>
      <c r="E66" s="770"/>
      <c r="F66" s="770"/>
      <c r="G66" s="770"/>
      <c r="H66" s="45">
        <f t="shared" si="0"/>
        <v>0</v>
      </c>
      <c r="I66" s="770"/>
      <c r="J66" s="770"/>
      <c r="K66" s="45">
        <f t="shared" si="1"/>
        <v>0</v>
      </c>
      <c r="L66" s="46">
        <f t="shared" si="2"/>
        <v>0</v>
      </c>
    </row>
    <row r="67" spans="1:13" ht="12.75" customHeight="1" x14ac:dyDescent="0.3">
      <c r="A67" s="54" t="s">
        <v>97</v>
      </c>
      <c r="B67" s="770"/>
      <c r="C67" s="770"/>
      <c r="D67" s="770"/>
      <c r="E67" s="770"/>
      <c r="F67" s="770"/>
      <c r="G67" s="770"/>
      <c r="H67" s="45">
        <f t="shared" si="0"/>
        <v>0</v>
      </c>
      <c r="I67" s="770"/>
      <c r="J67" s="770"/>
      <c r="K67" s="45">
        <f t="shared" si="1"/>
        <v>0</v>
      </c>
      <c r="L67" s="46">
        <f t="shared" si="2"/>
        <v>0</v>
      </c>
    </row>
    <row r="68" spans="1:13" ht="12.75" customHeight="1" x14ac:dyDescent="0.3">
      <c r="A68" s="54" t="s">
        <v>80</v>
      </c>
      <c r="B68" s="770">
        <v>1394867.2</v>
      </c>
      <c r="C68" s="770"/>
      <c r="D68" s="770">
        <v>1394867.2</v>
      </c>
      <c r="E68" s="770"/>
      <c r="F68" s="770"/>
      <c r="G68" s="770"/>
      <c r="H68" s="45">
        <f t="shared" si="0"/>
        <v>0</v>
      </c>
      <c r="I68" s="770"/>
      <c r="J68" s="770"/>
      <c r="K68" s="45">
        <f t="shared" si="1"/>
        <v>0</v>
      </c>
      <c r="L68" s="46">
        <f t="shared" si="2"/>
        <v>1394867.2</v>
      </c>
    </row>
    <row r="69" spans="1:13" ht="12.75" customHeight="1" x14ac:dyDescent="0.3">
      <c r="A69" s="54" t="s">
        <v>81</v>
      </c>
      <c r="B69" s="770"/>
      <c r="C69" s="770"/>
      <c r="D69" s="770"/>
      <c r="E69" s="770"/>
      <c r="F69" s="770"/>
      <c r="G69" s="770"/>
      <c r="H69" s="45">
        <f t="shared" si="0"/>
        <v>0</v>
      </c>
      <c r="I69" s="770"/>
      <c r="J69" s="770"/>
      <c r="K69" s="45">
        <f t="shared" si="1"/>
        <v>0</v>
      </c>
      <c r="L69" s="46">
        <f t="shared" si="2"/>
        <v>0</v>
      </c>
    </row>
    <row r="70" spans="1:13" ht="12.75" customHeight="1" x14ac:dyDescent="0.3">
      <c r="A70" s="41" t="s">
        <v>98</v>
      </c>
      <c r="B70" s="773">
        <f>SUM(B71:C75)</f>
        <v>-6371242.9400000004</v>
      </c>
      <c r="C70" s="773"/>
      <c r="D70" s="773">
        <f>SUM(D71:E75)</f>
        <v>-6371242.9400000004</v>
      </c>
      <c r="E70" s="773"/>
      <c r="F70" s="773">
        <f>SUM(F71:G75)</f>
        <v>-327915.34999999998</v>
      </c>
      <c r="G70" s="773"/>
      <c r="H70" s="42">
        <f t="shared" si="0"/>
        <v>5.1468034273387787E-2</v>
      </c>
      <c r="I70" s="773">
        <f>SUM(I71:J75)</f>
        <v>-733350.02</v>
      </c>
      <c r="J70" s="773"/>
      <c r="K70" s="42">
        <f t="shared" si="1"/>
        <v>0.11510313245094998</v>
      </c>
      <c r="L70" s="43">
        <f t="shared" si="2"/>
        <v>-5637892.9199999999</v>
      </c>
    </row>
    <row r="71" spans="1:13" ht="12.75" customHeight="1" x14ac:dyDescent="0.3">
      <c r="A71" s="44" t="s">
        <v>99</v>
      </c>
      <c r="B71" s="770"/>
      <c r="C71" s="770"/>
      <c r="D71" s="770"/>
      <c r="E71" s="770"/>
      <c r="F71" s="770"/>
      <c r="G71" s="770"/>
      <c r="H71" s="45">
        <f t="shared" si="0"/>
        <v>0</v>
      </c>
      <c r="I71" s="770"/>
      <c r="J71" s="770"/>
      <c r="K71" s="45">
        <f t="shared" si="1"/>
        <v>0</v>
      </c>
      <c r="L71" s="46">
        <f t="shared" si="2"/>
        <v>0</v>
      </c>
    </row>
    <row r="72" spans="1:13" ht="29.9" customHeight="1" x14ac:dyDescent="0.3">
      <c r="A72" s="55" t="s">
        <v>100</v>
      </c>
      <c r="B72" s="770"/>
      <c r="C72" s="770"/>
      <c r="D72" s="770"/>
      <c r="E72" s="770"/>
      <c r="F72" s="770"/>
      <c r="G72" s="770"/>
      <c r="H72" s="45">
        <f t="shared" si="0"/>
        <v>0</v>
      </c>
      <c r="I72" s="770"/>
      <c r="J72" s="770"/>
      <c r="K72" s="45">
        <f t="shared" si="1"/>
        <v>0</v>
      </c>
      <c r="L72" s="46">
        <f t="shared" si="2"/>
        <v>0</v>
      </c>
    </row>
    <row r="73" spans="1:13" ht="29.9" customHeight="1" x14ac:dyDescent="0.3">
      <c r="A73" s="54" t="s">
        <v>101</v>
      </c>
      <c r="B73" s="56"/>
      <c r="C73" s="57"/>
      <c r="D73" s="56"/>
      <c r="E73" s="57"/>
      <c r="F73" s="56"/>
      <c r="G73" s="57"/>
      <c r="H73" s="45">
        <f t="shared" si="0"/>
        <v>0</v>
      </c>
      <c r="I73" s="56"/>
      <c r="J73" s="57"/>
      <c r="K73" s="45">
        <f t="shared" si="1"/>
        <v>0</v>
      </c>
      <c r="L73" s="46">
        <f t="shared" si="2"/>
        <v>0</v>
      </c>
    </row>
    <row r="74" spans="1:13" ht="29.9" customHeight="1" x14ac:dyDescent="0.3">
      <c r="A74" s="54" t="s">
        <v>102</v>
      </c>
      <c r="B74" s="56"/>
      <c r="C74" s="57"/>
      <c r="D74" s="56"/>
      <c r="E74" s="57"/>
      <c r="F74" s="56"/>
      <c r="G74" s="57"/>
      <c r="H74" s="45">
        <f t="shared" si="0"/>
        <v>0</v>
      </c>
      <c r="I74" s="56"/>
      <c r="J74" s="57"/>
      <c r="K74" s="45">
        <f t="shared" si="1"/>
        <v>0</v>
      </c>
      <c r="L74" s="46">
        <f t="shared" si="2"/>
        <v>0</v>
      </c>
    </row>
    <row r="75" spans="1:13" ht="12.75" customHeight="1" x14ac:dyDescent="0.3">
      <c r="A75" s="54" t="s">
        <v>103</v>
      </c>
      <c r="B75" s="770">
        <v>-6371242.9400000004</v>
      </c>
      <c r="C75" s="770"/>
      <c r="D75" s="770">
        <v>-6371242.9400000004</v>
      </c>
      <c r="E75" s="770"/>
      <c r="F75" s="770">
        <v>-327915.34999999998</v>
      </c>
      <c r="G75" s="770"/>
      <c r="H75" s="45">
        <f t="shared" si="0"/>
        <v>5.1468034273387787E-2</v>
      </c>
      <c r="I75" s="770">
        <v>-733350.02</v>
      </c>
      <c r="J75" s="770"/>
      <c r="K75" s="45">
        <f t="shared" si="1"/>
        <v>0.11510313245094998</v>
      </c>
      <c r="L75" s="46">
        <f t="shared" si="2"/>
        <v>-5637892.9199999999</v>
      </c>
      <c r="M75" s="16" t="s">
        <v>104</v>
      </c>
    </row>
    <row r="76" spans="1:13" ht="29.9" customHeight="1" x14ac:dyDescent="0.3">
      <c r="A76" s="58" t="s">
        <v>105</v>
      </c>
      <c r="B76" s="800">
        <f>+B126</f>
        <v>0</v>
      </c>
      <c r="C76" s="800"/>
      <c r="D76" s="800">
        <f>+D126</f>
        <v>0</v>
      </c>
      <c r="E76" s="800"/>
      <c r="F76" s="800">
        <f>+F126</f>
        <v>0</v>
      </c>
      <c r="G76" s="800"/>
      <c r="H76" s="59">
        <f t="shared" si="0"/>
        <v>0</v>
      </c>
      <c r="I76" s="800">
        <f>+I126</f>
        <v>0</v>
      </c>
      <c r="J76" s="800"/>
      <c r="K76" s="59">
        <f t="shared" si="1"/>
        <v>0</v>
      </c>
      <c r="L76" s="60">
        <f>+D76+I76</f>
        <v>0</v>
      </c>
    </row>
    <row r="77" spans="1:13" ht="12.75" customHeight="1" x14ac:dyDescent="0.3">
      <c r="A77" s="61" t="s">
        <v>106</v>
      </c>
      <c r="B77" s="790">
        <f>+B13+B76</f>
        <v>36977490.150000006</v>
      </c>
      <c r="C77" s="790"/>
      <c r="D77" s="790">
        <f>+D13+D76</f>
        <v>36977480.150000006</v>
      </c>
      <c r="E77" s="790"/>
      <c r="F77" s="790">
        <f>+F13+F76</f>
        <v>3558930.02</v>
      </c>
      <c r="G77" s="790"/>
      <c r="H77" s="62"/>
      <c r="I77" s="790">
        <f>+I13+I76</f>
        <v>8110831.4500000011</v>
      </c>
      <c r="J77" s="790"/>
      <c r="K77" s="62"/>
      <c r="L77" s="63">
        <f t="shared" ref="L77:L85" si="3">+D77-I77</f>
        <v>28866648.700000003</v>
      </c>
    </row>
    <row r="78" spans="1:13" ht="29.9" customHeight="1" x14ac:dyDescent="0.3">
      <c r="A78" s="64" t="s">
        <v>107</v>
      </c>
      <c r="B78" s="799">
        <f>+B79+B82</f>
        <v>0</v>
      </c>
      <c r="C78" s="799"/>
      <c r="D78" s="799">
        <f>+D79+D82</f>
        <v>0</v>
      </c>
      <c r="E78" s="799"/>
      <c r="F78" s="799">
        <f>+F79+F82</f>
        <v>0</v>
      </c>
      <c r="G78" s="799"/>
      <c r="H78" s="59">
        <f t="shared" ref="H78:H84" si="4">IF(D78="",0,IF(D78=0,0,+F78/D78))</f>
        <v>0</v>
      </c>
      <c r="I78" s="799">
        <f>+I79+I82</f>
        <v>0</v>
      </c>
      <c r="J78" s="799"/>
      <c r="K78" s="59">
        <f t="shared" ref="K78:K84" si="5">IF(D78="",0,IF(D78=0,0,I78/D78))</f>
        <v>0</v>
      </c>
      <c r="L78" s="60">
        <f t="shared" si="3"/>
        <v>0</v>
      </c>
    </row>
    <row r="79" spans="1:13" ht="12.75" customHeight="1" x14ac:dyDescent="0.3">
      <c r="A79" s="38" t="s">
        <v>108</v>
      </c>
      <c r="B79" s="781">
        <f>SUM(B80:C81)</f>
        <v>0</v>
      </c>
      <c r="C79" s="781"/>
      <c r="D79" s="781">
        <f>SUM(D80:E81)</f>
        <v>0</v>
      </c>
      <c r="E79" s="781"/>
      <c r="F79" s="781">
        <f>SUM(F80:G81)</f>
        <v>0</v>
      </c>
      <c r="G79" s="781"/>
      <c r="H79" s="66">
        <f t="shared" si="4"/>
        <v>0</v>
      </c>
      <c r="I79" s="781">
        <f>SUM(I80:J81)</f>
        <v>0</v>
      </c>
      <c r="J79" s="781"/>
      <c r="K79" s="66">
        <f t="shared" si="5"/>
        <v>0</v>
      </c>
      <c r="L79" s="40">
        <f t="shared" si="3"/>
        <v>0</v>
      </c>
    </row>
    <row r="80" spans="1:13" ht="12.75" customHeight="1" x14ac:dyDescent="0.3">
      <c r="A80" s="44" t="s">
        <v>109</v>
      </c>
      <c r="B80" s="770"/>
      <c r="C80" s="770"/>
      <c r="D80" s="770"/>
      <c r="E80" s="770"/>
      <c r="F80" s="770"/>
      <c r="G80" s="770"/>
      <c r="H80" s="45">
        <f t="shared" si="4"/>
        <v>0</v>
      </c>
      <c r="I80" s="770"/>
      <c r="J80" s="770"/>
      <c r="K80" s="45">
        <f t="shared" si="5"/>
        <v>0</v>
      </c>
      <c r="L80" s="46">
        <f t="shared" si="3"/>
        <v>0</v>
      </c>
    </row>
    <row r="81" spans="1:12" ht="12.75" customHeight="1" x14ac:dyDescent="0.3">
      <c r="A81" s="67" t="s">
        <v>110</v>
      </c>
      <c r="B81" s="770"/>
      <c r="C81" s="770"/>
      <c r="D81" s="770"/>
      <c r="E81" s="770"/>
      <c r="F81" s="770"/>
      <c r="G81" s="770"/>
      <c r="H81" s="45">
        <f t="shared" si="4"/>
        <v>0</v>
      </c>
      <c r="I81" s="770"/>
      <c r="J81" s="770"/>
      <c r="K81" s="45">
        <f t="shared" si="5"/>
        <v>0</v>
      </c>
      <c r="L81" s="46">
        <f t="shared" si="3"/>
        <v>0</v>
      </c>
    </row>
    <row r="82" spans="1:12" ht="12.75" customHeight="1" x14ac:dyDescent="0.3">
      <c r="A82" s="38" t="s">
        <v>111</v>
      </c>
      <c r="B82" s="781">
        <f>SUM(B83:C84)</f>
        <v>0</v>
      </c>
      <c r="C82" s="781"/>
      <c r="D82" s="781">
        <f>SUM(D83:E84)</f>
        <v>0</v>
      </c>
      <c r="E82" s="781"/>
      <c r="F82" s="781">
        <f>SUM(F83:G84)</f>
        <v>0</v>
      </c>
      <c r="G82" s="781"/>
      <c r="H82" s="66">
        <f t="shared" si="4"/>
        <v>0</v>
      </c>
      <c r="I82" s="781">
        <f>SUM(I83:J84)</f>
        <v>0</v>
      </c>
      <c r="J82" s="781"/>
      <c r="K82" s="66">
        <f t="shared" si="5"/>
        <v>0</v>
      </c>
      <c r="L82" s="40">
        <f t="shared" si="3"/>
        <v>0</v>
      </c>
    </row>
    <row r="83" spans="1:12" ht="12.75" customHeight="1" x14ac:dyDescent="0.3">
      <c r="A83" s="44" t="s">
        <v>109</v>
      </c>
      <c r="B83" s="770"/>
      <c r="C83" s="770"/>
      <c r="D83" s="770"/>
      <c r="E83" s="770"/>
      <c r="F83" s="770"/>
      <c r="G83" s="770"/>
      <c r="H83" s="45">
        <f t="shared" si="4"/>
        <v>0</v>
      </c>
      <c r="I83" s="770"/>
      <c r="J83" s="770"/>
      <c r="K83" s="45">
        <f t="shared" si="5"/>
        <v>0</v>
      </c>
      <c r="L83" s="46">
        <f t="shared" si="3"/>
        <v>0</v>
      </c>
    </row>
    <row r="84" spans="1:12" ht="12.75" customHeight="1" x14ac:dyDescent="0.3">
      <c r="A84" s="67" t="s">
        <v>110</v>
      </c>
      <c r="B84" s="770"/>
      <c r="C84" s="770"/>
      <c r="D84" s="770"/>
      <c r="E84" s="770"/>
      <c r="F84" s="770"/>
      <c r="G84" s="770"/>
      <c r="H84" s="45">
        <f t="shared" si="4"/>
        <v>0</v>
      </c>
      <c r="I84" s="770"/>
      <c r="J84" s="770"/>
      <c r="K84" s="45">
        <f t="shared" si="5"/>
        <v>0</v>
      </c>
      <c r="L84" s="46">
        <f t="shared" si="3"/>
        <v>0</v>
      </c>
    </row>
    <row r="85" spans="1:12" ht="14.65" customHeight="1" x14ac:dyDescent="0.3">
      <c r="A85" s="61" t="s">
        <v>112</v>
      </c>
      <c r="B85" s="790">
        <f>+B77+B78</f>
        <v>36977490.150000006</v>
      </c>
      <c r="C85" s="790"/>
      <c r="D85" s="790">
        <f>+D77+D78</f>
        <v>36977480.150000006</v>
      </c>
      <c r="E85" s="790"/>
      <c r="F85" s="790">
        <f>+F77+F78</f>
        <v>3558930.02</v>
      </c>
      <c r="G85" s="790"/>
      <c r="H85" s="62"/>
      <c r="I85" s="790">
        <f>+I77+I78</f>
        <v>8110831.4500000011</v>
      </c>
      <c r="J85" s="790"/>
      <c r="K85" s="62"/>
      <c r="L85" s="63">
        <f t="shared" si="3"/>
        <v>28866648.700000003</v>
      </c>
    </row>
    <row r="86" spans="1:12" ht="12.75" customHeight="1" x14ac:dyDescent="0.3">
      <c r="A86" s="68" t="s">
        <v>113</v>
      </c>
      <c r="B86" s="791"/>
      <c r="C86" s="791"/>
      <c r="D86" s="791"/>
      <c r="E86" s="791"/>
      <c r="F86" s="791"/>
      <c r="G86" s="791"/>
      <c r="H86" s="62"/>
      <c r="I86" s="797">
        <f>IF(A7="6º Bimestre de 2017",IF(I85-ABS(E116)&lt;0,ABS(E116)-I85,0),IF(I85-ABS(H116)&lt;0,ABS(H116)-I85,0))</f>
        <v>0</v>
      </c>
      <c r="J86" s="797"/>
      <c r="K86" s="62"/>
      <c r="L86" s="69"/>
    </row>
    <row r="87" spans="1:12" ht="12.75" customHeight="1" x14ac:dyDescent="0.3">
      <c r="A87" s="70" t="s">
        <v>114</v>
      </c>
      <c r="B87" s="798">
        <f>+B85</f>
        <v>36977490.150000006</v>
      </c>
      <c r="C87" s="798"/>
      <c r="D87" s="798">
        <f>+D85</f>
        <v>36977480.150000006</v>
      </c>
      <c r="E87" s="798"/>
      <c r="F87" s="798">
        <f>+F85</f>
        <v>3558930.02</v>
      </c>
      <c r="G87" s="798"/>
      <c r="H87" s="62"/>
      <c r="I87" s="798">
        <f>+I86+I85</f>
        <v>8110831.4500000011</v>
      </c>
      <c r="J87" s="798"/>
      <c r="K87" s="62"/>
      <c r="L87" s="71">
        <f>+D87-I87</f>
        <v>28866648.700000003</v>
      </c>
    </row>
    <row r="88" spans="1:12" ht="29.9" customHeight="1" x14ac:dyDescent="0.3">
      <c r="A88" s="72" t="s">
        <v>115</v>
      </c>
      <c r="B88" s="795"/>
      <c r="C88" s="795"/>
      <c r="D88" s="795"/>
      <c r="E88" s="795"/>
      <c r="F88" s="791"/>
      <c r="G88" s="791"/>
      <c r="H88" s="62"/>
      <c r="I88" s="796"/>
      <c r="J88" s="796"/>
      <c r="K88" s="62"/>
      <c r="L88" s="69"/>
    </row>
    <row r="89" spans="1:12" ht="14.65" customHeight="1" x14ac:dyDescent="0.3">
      <c r="A89" s="73" t="s">
        <v>116</v>
      </c>
      <c r="B89" s="795"/>
      <c r="C89" s="795"/>
      <c r="D89" s="795"/>
      <c r="E89" s="795"/>
      <c r="F89" s="791"/>
      <c r="G89" s="791"/>
      <c r="H89" s="62"/>
      <c r="I89" s="791"/>
      <c r="J89" s="791"/>
      <c r="K89" s="62"/>
      <c r="L89" s="69"/>
    </row>
    <row r="90" spans="1:12" ht="12.75" customHeight="1" x14ac:dyDescent="0.3">
      <c r="A90" s="73" t="s">
        <v>117</v>
      </c>
      <c r="B90" s="791"/>
      <c r="C90" s="791"/>
      <c r="D90" s="795"/>
      <c r="E90" s="795"/>
      <c r="F90" s="791"/>
      <c r="G90" s="791"/>
      <c r="H90" s="62"/>
      <c r="I90" s="795"/>
      <c r="J90" s="795"/>
      <c r="K90" s="62"/>
      <c r="L90" s="69"/>
    </row>
    <row r="91" spans="1:12" ht="12.75" customHeight="1" x14ac:dyDescent="0.3">
      <c r="A91" s="73" t="s">
        <v>118</v>
      </c>
      <c r="B91" s="791"/>
      <c r="C91" s="791"/>
      <c r="D91" s="795"/>
      <c r="E91" s="795"/>
      <c r="F91" s="791"/>
      <c r="G91" s="791"/>
      <c r="H91" s="62"/>
      <c r="I91" s="795"/>
      <c r="J91" s="795"/>
      <c r="K91" s="62"/>
      <c r="L91" s="69"/>
    </row>
    <row r="92" spans="1:12" ht="12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14.25" customHeight="1" x14ac:dyDescent="0.3">
      <c r="A93" s="74"/>
      <c r="B93" s="775" t="s">
        <v>119</v>
      </c>
      <c r="C93" s="775" t="s">
        <v>120</v>
      </c>
      <c r="D93" s="780" t="s">
        <v>121</v>
      </c>
      <c r="E93" s="780"/>
      <c r="F93" s="75" t="s">
        <v>37</v>
      </c>
      <c r="G93" s="780" t="s">
        <v>122</v>
      </c>
      <c r="H93" s="780"/>
      <c r="I93" s="774" t="s">
        <v>37</v>
      </c>
      <c r="J93" s="775" t="s">
        <v>123</v>
      </c>
      <c r="K93" s="776" t="s">
        <v>124</v>
      </c>
      <c r="L93" s="776"/>
    </row>
    <row r="94" spans="1:12" ht="14.25" customHeight="1" x14ac:dyDescent="0.3">
      <c r="A94" s="76" t="s">
        <v>125</v>
      </c>
      <c r="B94" s="775"/>
      <c r="C94" s="775"/>
      <c r="D94" s="777" t="s">
        <v>38</v>
      </c>
      <c r="E94" s="794" t="s">
        <v>40</v>
      </c>
      <c r="F94" s="77"/>
      <c r="G94" s="777" t="s">
        <v>38</v>
      </c>
      <c r="H94" s="794" t="s">
        <v>40</v>
      </c>
      <c r="I94" s="774"/>
      <c r="J94" s="775"/>
      <c r="K94" s="776"/>
      <c r="L94" s="776"/>
    </row>
    <row r="95" spans="1:12" ht="14.25" customHeight="1" x14ac:dyDescent="0.3">
      <c r="A95" s="78"/>
      <c r="B95" s="775"/>
      <c r="C95" s="775"/>
      <c r="D95" s="775"/>
      <c r="E95" s="794"/>
      <c r="F95" s="77"/>
      <c r="G95" s="777"/>
      <c r="H95" s="794"/>
      <c r="I95" s="774"/>
      <c r="J95" s="775"/>
      <c r="K95" s="776"/>
      <c r="L95" s="776"/>
    </row>
    <row r="96" spans="1:12" ht="12.75" customHeight="1" x14ac:dyDescent="0.3">
      <c r="A96" s="79"/>
      <c r="B96" s="80" t="s">
        <v>126</v>
      </c>
      <c r="C96" s="80" t="s">
        <v>127</v>
      </c>
      <c r="D96" s="777"/>
      <c r="E96" s="80" t="s">
        <v>128</v>
      </c>
      <c r="F96" s="81" t="s">
        <v>129</v>
      </c>
      <c r="G96" s="777"/>
      <c r="H96" s="80" t="s">
        <v>130</v>
      </c>
      <c r="I96" s="80" t="s">
        <v>131</v>
      </c>
      <c r="J96" s="80" t="s">
        <v>132</v>
      </c>
      <c r="K96" s="778" t="s">
        <v>133</v>
      </c>
      <c r="L96" s="778"/>
    </row>
    <row r="97" spans="1:13" ht="12.75" customHeight="1" x14ac:dyDescent="0.3">
      <c r="A97" s="82" t="s">
        <v>134</v>
      </c>
      <c r="B97" s="65">
        <f t="shared" ref="B97:K97" si="6">+B98+B102+B106</f>
        <v>36977490.149999999</v>
      </c>
      <c r="C97" s="65">
        <f t="shared" si="6"/>
        <v>38372266.600000001</v>
      </c>
      <c r="D97" s="65">
        <f t="shared" si="6"/>
        <v>4060145.65</v>
      </c>
      <c r="E97" s="65">
        <f t="shared" si="6"/>
        <v>9026205.0199999996</v>
      </c>
      <c r="F97" s="65">
        <f t="shared" si="6"/>
        <v>29346061.580000002</v>
      </c>
      <c r="G97" s="65">
        <f t="shared" si="6"/>
        <v>3741861.81</v>
      </c>
      <c r="H97" s="65">
        <f t="shared" si="6"/>
        <v>0</v>
      </c>
      <c r="I97" s="65">
        <f t="shared" si="6"/>
        <v>31427878.330000002</v>
      </c>
      <c r="J97" s="65">
        <f t="shared" si="6"/>
        <v>0</v>
      </c>
      <c r="K97" s="784">
        <f t="shared" si="6"/>
        <v>0</v>
      </c>
      <c r="L97" s="784"/>
    </row>
    <row r="98" spans="1:13" ht="12.75" customHeight="1" x14ac:dyDescent="0.3">
      <c r="A98" s="83" t="s">
        <v>135</v>
      </c>
      <c r="B98" s="40">
        <f t="shared" ref="B98:G98" si="7">SUM(B99:B101)</f>
        <v>30312573.339999996</v>
      </c>
      <c r="C98" s="40">
        <f t="shared" si="7"/>
        <v>31707349.789999999</v>
      </c>
      <c r="D98" s="40">
        <f t="shared" si="7"/>
        <v>4060145.65</v>
      </c>
      <c r="E98" s="40">
        <f t="shared" si="7"/>
        <v>9026205.0199999996</v>
      </c>
      <c r="F98" s="40">
        <f t="shared" si="7"/>
        <v>22681144.770000003</v>
      </c>
      <c r="G98" s="40">
        <f t="shared" si="7"/>
        <v>3741861.81</v>
      </c>
      <c r="H98" s="40">
        <v>0</v>
      </c>
      <c r="I98" s="40">
        <f>SUM(I99:I101)</f>
        <v>24762961.520000003</v>
      </c>
      <c r="J98" s="40">
        <f>SUM(J99:J101)</f>
        <v>0</v>
      </c>
      <c r="K98" s="781">
        <f>SUM(K99:K101)</f>
        <v>0</v>
      </c>
      <c r="L98" s="781"/>
    </row>
    <row r="99" spans="1:13" s="28" customFormat="1" ht="12.75" customHeight="1" x14ac:dyDescent="0.3">
      <c r="A99" s="84" t="s">
        <v>136</v>
      </c>
      <c r="B99" s="85">
        <v>17559991.079999998</v>
      </c>
      <c r="C99" s="85">
        <v>17951383.66</v>
      </c>
      <c r="D99" s="85">
        <v>2697042</v>
      </c>
      <c r="E99" s="85">
        <v>5467302.7599999998</v>
      </c>
      <c r="F99" s="43">
        <f t="shared" ref="F99:F106" si="8">+C99-E99</f>
        <v>12484080.9</v>
      </c>
      <c r="G99" s="86">
        <v>2697042</v>
      </c>
      <c r="H99" s="86">
        <v>5697302.7599999998</v>
      </c>
      <c r="I99" s="87">
        <f t="shared" ref="I99:I106" si="9">+C99-H99</f>
        <v>12254080.9</v>
      </c>
      <c r="J99" s="88">
        <v>0</v>
      </c>
      <c r="K99" s="793"/>
      <c r="L99" s="793"/>
    </row>
    <row r="100" spans="1:13" ht="12.75" customHeight="1" x14ac:dyDescent="0.3">
      <c r="A100" s="84" t="s">
        <v>137</v>
      </c>
      <c r="B100" s="85"/>
      <c r="C100" s="85"/>
      <c r="D100" s="85"/>
      <c r="E100" s="85"/>
      <c r="F100" s="43">
        <f t="shared" si="8"/>
        <v>0</v>
      </c>
      <c r="G100" s="86"/>
      <c r="H100" s="86"/>
      <c r="I100" s="87">
        <f t="shared" si="9"/>
        <v>0</v>
      </c>
      <c r="J100" s="85"/>
      <c r="K100" s="793"/>
      <c r="L100" s="793"/>
    </row>
    <row r="101" spans="1:13" ht="12.75" customHeight="1" x14ac:dyDescent="0.3">
      <c r="A101" s="84" t="s">
        <v>138</v>
      </c>
      <c r="B101" s="85">
        <v>12752582.26</v>
      </c>
      <c r="C101" s="85">
        <v>13755966.130000001</v>
      </c>
      <c r="D101" s="85">
        <v>1363103.65</v>
      </c>
      <c r="E101" s="85">
        <v>3558902.26</v>
      </c>
      <c r="F101" s="43">
        <f t="shared" si="8"/>
        <v>10197063.870000001</v>
      </c>
      <c r="G101" s="86">
        <v>1044819.81</v>
      </c>
      <c r="H101" s="86">
        <v>1247085.51</v>
      </c>
      <c r="I101" s="87">
        <f t="shared" si="9"/>
        <v>12508880.620000001</v>
      </c>
      <c r="J101" s="85"/>
      <c r="K101" s="793"/>
      <c r="L101" s="793"/>
    </row>
    <row r="102" spans="1:13" s="28" customFormat="1" ht="12.75" customHeight="1" x14ac:dyDescent="0.3">
      <c r="A102" s="83" t="s">
        <v>139</v>
      </c>
      <c r="B102" s="40">
        <f>SUM(B103:B105)</f>
        <v>6289855.8099999996</v>
      </c>
      <c r="C102" s="40">
        <f>SUM(C103:C105)</f>
        <v>6289855.8099999996</v>
      </c>
      <c r="D102" s="40">
        <f>SUM(D103:D105)</f>
        <v>0</v>
      </c>
      <c r="E102" s="40">
        <f>SUM(E103:E105)</f>
        <v>0</v>
      </c>
      <c r="F102" s="40">
        <f t="shared" si="8"/>
        <v>6289855.8099999996</v>
      </c>
      <c r="G102" s="40">
        <f>SUM(G103:G105)</f>
        <v>0</v>
      </c>
      <c r="H102" s="40">
        <f>SUM(H103:H105)</f>
        <v>0</v>
      </c>
      <c r="I102" s="40">
        <f t="shared" si="9"/>
        <v>6289855.8099999996</v>
      </c>
      <c r="J102" s="40">
        <f>SUM(J103:J105)</f>
        <v>0</v>
      </c>
      <c r="K102" s="781">
        <f>SUM(K103:K105)</f>
        <v>0</v>
      </c>
      <c r="L102" s="781"/>
    </row>
    <row r="103" spans="1:13" ht="12.75" customHeight="1" x14ac:dyDescent="0.3">
      <c r="A103" s="84" t="s">
        <v>140</v>
      </c>
      <c r="B103" s="85">
        <v>6251238.8099999996</v>
      </c>
      <c r="C103" s="85">
        <v>6251238.8099999996</v>
      </c>
      <c r="D103" s="85"/>
      <c r="E103" s="85"/>
      <c r="F103" s="43">
        <f t="shared" si="8"/>
        <v>6251238.8099999996</v>
      </c>
      <c r="G103" s="86"/>
      <c r="H103" s="86"/>
      <c r="I103" s="87">
        <f t="shared" si="9"/>
        <v>6251238.8099999996</v>
      </c>
      <c r="J103" s="85"/>
      <c r="K103" s="793"/>
      <c r="L103" s="793"/>
    </row>
    <row r="104" spans="1:13" ht="12.75" customHeight="1" x14ac:dyDescent="0.3">
      <c r="A104" s="84" t="s">
        <v>141</v>
      </c>
      <c r="B104" s="85">
        <v>38617</v>
      </c>
      <c r="C104" s="85">
        <v>38617</v>
      </c>
      <c r="D104" s="85"/>
      <c r="E104" s="85"/>
      <c r="F104" s="43">
        <f t="shared" si="8"/>
        <v>38617</v>
      </c>
      <c r="G104" s="86"/>
      <c r="H104" s="86">
        <v>0</v>
      </c>
      <c r="I104" s="87">
        <f t="shared" si="9"/>
        <v>38617</v>
      </c>
      <c r="J104" s="85"/>
      <c r="K104" s="793"/>
      <c r="L104" s="793"/>
    </row>
    <row r="105" spans="1:13" ht="12.75" customHeight="1" x14ac:dyDescent="0.3">
      <c r="A105" s="84" t="s">
        <v>142</v>
      </c>
      <c r="B105" s="85"/>
      <c r="C105" s="85"/>
      <c r="D105" s="85"/>
      <c r="E105" s="85"/>
      <c r="F105" s="43">
        <f t="shared" si="8"/>
        <v>0</v>
      </c>
      <c r="G105" s="86"/>
      <c r="H105" s="86"/>
      <c r="I105" s="87">
        <f t="shared" si="9"/>
        <v>0</v>
      </c>
      <c r="J105" s="85"/>
      <c r="K105" s="793"/>
      <c r="L105" s="793"/>
    </row>
    <row r="106" spans="1:13" ht="12.75" customHeight="1" x14ac:dyDescent="0.3">
      <c r="A106" s="83" t="s">
        <v>143</v>
      </c>
      <c r="B106" s="85">
        <v>375061</v>
      </c>
      <c r="C106" s="85">
        <v>375061</v>
      </c>
      <c r="D106" s="69"/>
      <c r="E106" s="69"/>
      <c r="F106" s="89">
        <f t="shared" si="8"/>
        <v>375061</v>
      </c>
      <c r="G106" s="69"/>
      <c r="H106" s="69"/>
      <c r="I106" s="89">
        <f t="shared" si="9"/>
        <v>375061</v>
      </c>
      <c r="J106" s="69"/>
      <c r="K106" s="791"/>
      <c r="L106" s="791"/>
      <c r="M106" s="90"/>
    </row>
    <row r="107" spans="1:13" ht="12.75" customHeight="1" x14ac:dyDescent="0.3">
      <c r="A107" s="91" t="s">
        <v>144</v>
      </c>
      <c r="B107" s="92">
        <f t="shared" ref="B107:K107" si="10">+B193</f>
        <v>0</v>
      </c>
      <c r="C107" s="92">
        <f t="shared" si="10"/>
        <v>0</v>
      </c>
      <c r="D107" s="92">
        <f t="shared" si="10"/>
        <v>0</v>
      </c>
      <c r="E107" s="92">
        <f t="shared" si="10"/>
        <v>0</v>
      </c>
      <c r="F107" s="92">
        <f t="shared" si="10"/>
        <v>0</v>
      </c>
      <c r="G107" s="92">
        <f t="shared" si="10"/>
        <v>0</v>
      </c>
      <c r="H107" s="92">
        <f t="shared" si="10"/>
        <v>0</v>
      </c>
      <c r="I107" s="92">
        <f t="shared" si="10"/>
        <v>0</v>
      </c>
      <c r="J107" s="92">
        <f t="shared" si="10"/>
        <v>0</v>
      </c>
      <c r="K107" s="784">
        <f t="shared" si="10"/>
        <v>0</v>
      </c>
      <c r="L107" s="784"/>
    </row>
    <row r="108" spans="1:13" ht="12.75" customHeight="1" x14ac:dyDescent="0.3">
      <c r="A108" s="93" t="s">
        <v>145</v>
      </c>
      <c r="B108" s="94">
        <f>+B97+B107</f>
        <v>36977490.149999999</v>
      </c>
      <c r="C108" s="94">
        <f>+C97+C107</f>
        <v>38372266.600000001</v>
      </c>
      <c r="D108" s="94">
        <f>+D97+D107</f>
        <v>4060145.65</v>
      </c>
      <c r="E108" s="94">
        <f>+E97+E107</f>
        <v>9026205.0199999996</v>
      </c>
      <c r="F108" s="94">
        <f>+C108+E108</f>
        <v>47398471.620000005</v>
      </c>
      <c r="G108" s="94">
        <f>+G97+G107</f>
        <v>3741861.81</v>
      </c>
      <c r="H108" s="94">
        <f>+H97+H107</f>
        <v>0</v>
      </c>
      <c r="I108" s="95">
        <f>+C108+H108</f>
        <v>38372266.600000001</v>
      </c>
      <c r="J108" s="94">
        <f>+J107+J97</f>
        <v>0</v>
      </c>
      <c r="K108" s="790">
        <f>K107+K97</f>
        <v>0</v>
      </c>
      <c r="L108" s="790"/>
    </row>
    <row r="109" spans="1:13" ht="12.75" customHeight="1" x14ac:dyDescent="0.3">
      <c r="A109" s="96" t="s">
        <v>146</v>
      </c>
      <c r="B109" s="97">
        <f t="shared" ref="B109:K109" si="11">+B110+B113</f>
        <v>0</v>
      </c>
      <c r="C109" s="97">
        <f t="shared" si="11"/>
        <v>0</v>
      </c>
      <c r="D109" s="97">
        <f t="shared" si="11"/>
        <v>0</v>
      </c>
      <c r="E109" s="97">
        <f t="shared" si="11"/>
        <v>0</v>
      </c>
      <c r="F109" s="97">
        <f t="shared" si="11"/>
        <v>0</v>
      </c>
      <c r="G109" s="97">
        <f t="shared" si="11"/>
        <v>0</v>
      </c>
      <c r="H109" s="97">
        <f t="shared" si="11"/>
        <v>0</v>
      </c>
      <c r="I109" s="97">
        <f t="shared" si="11"/>
        <v>0</v>
      </c>
      <c r="J109" s="97">
        <f t="shared" si="11"/>
        <v>0</v>
      </c>
      <c r="K109" s="781">
        <f t="shared" si="11"/>
        <v>0</v>
      </c>
      <c r="L109" s="781"/>
    </row>
    <row r="110" spans="1:13" ht="12.75" customHeight="1" x14ac:dyDescent="0.3">
      <c r="A110" s="41" t="s">
        <v>147</v>
      </c>
      <c r="B110" s="43">
        <f t="shared" ref="B110:K110" si="12">SUM(B111:B112)</f>
        <v>0</v>
      </c>
      <c r="C110" s="43">
        <f t="shared" si="12"/>
        <v>0</v>
      </c>
      <c r="D110" s="43">
        <f t="shared" si="12"/>
        <v>0</v>
      </c>
      <c r="E110" s="43">
        <f t="shared" si="12"/>
        <v>0</v>
      </c>
      <c r="F110" s="43">
        <f t="shared" si="12"/>
        <v>0</v>
      </c>
      <c r="G110" s="43">
        <f t="shared" si="12"/>
        <v>0</v>
      </c>
      <c r="H110" s="43">
        <f t="shared" si="12"/>
        <v>0</v>
      </c>
      <c r="I110" s="43">
        <f t="shared" si="12"/>
        <v>0</v>
      </c>
      <c r="J110" s="43">
        <f t="shared" si="12"/>
        <v>0</v>
      </c>
      <c r="K110" s="773">
        <f t="shared" si="12"/>
        <v>0</v>
      </c>
      <c r="L110" s="773"/>
    </row>
    <row r="111" spans="1:13" ht="12.75" customHeight="1" x14ac:dyDescent="0.3">
      <c r="A111" s="44" t="s">
        <v>148</v>
      </c>
      <c r="B111" s="86"/>
      <c r="C111" s="86"/>
      <c r="D111" s="85"/>
      <c r="E111" s="86"/>
      <c r="F111" s="46">
        <f>+C111-E111</f>
        <v>0</v>
      </c>
      <c r="G111" s="56"/>
      <c r="H111" s="56"/>
      <c r="I111" s="98">
        <f>+C111-H111</f>
        <v>0</v>
      </c>
      <c r="J111" s="85"/>
      <c r="K111" s="770"/>
      <c r="L111" s="770"/>
    </row>
    <row r="112" spans="1:13" ht="12.75" customHeight="1" x14ac:dyDescent="0.3">
      <c r="A112" s="44" t="s">
        <v>149</v>
      </c>
      <c r="B112" s="86"/>
      <c r="C112" s="86"/>
      <c r="D112" s="85"/>
      <c r="E112" s="86"/>
      <c r="F112" s="46">
        <f>+C112-E112</f>
        <v>0</v>
      </c>
      <c r="G112" s="56"/>
      <c r="H112" s="56"/>
      <c r="I112" s="98">
        <f>+C112-H112</f>
        <v>0</v>
      </c>
      <c r="J112" s="85"/>
      <c r="K112" s="770"/>
      <c r="L112" s="770"/>
    </row>
    <row r="113" spans="1:13" ht="12.75" customHeight="1" x14ac:dyDescent="0.3">
      <c r="A113" s="41" t="s">
        <v>150</v>
      </c>
      <c r="B113" s="43">
        <f>SUM(B114:B115)</f>
        <v>0</v>
      </c>
      <c r="C113" s="43">
        <f>SUM(C114:C115)</f>
        <v>0</v>
      </c>
      <c r="D113" s="43">
        <f>SUM(D114:D115)</f>
        <v>0</v>
      </c>
      <c r="E113" s="43">
        <f>SUM(E114:E115)</f>
        <v>0</v>
      </c>
      <c r="F113" s="43">
        <f>+C113-E113</f>
        <v>0</v>
      </c>
      <c r="G113" s="43">
        <f>SUM(G114:G115)</f>
        <v>0</v>
      </c>
      <c r="H113" s="43">
        <f>SUM(H114:H115)</f>
        <v>0</v>
      </c>
      <c r="I113" s="43">
        <f>+C113-H113</f>
        <v>0</v>
      </c>
      <c r="J113" s="43">
        <f>SUM(J114:J115)</f>
        <v>0</v>
      </c>
      <c r="K113" s="773">
        <f>SUM(K114:K115)</f>
        <v>0</v>
      </c>
      <c r="L113" s="773"/>
    </row>
    <row r="114" spans="1:13" ht="12.75" customHeight="1" x14ac:dyDescent="0.3">
      <c r="A114" s="44" t="s">
        <v>148</v>
      </c>
      <c r="B114" s="86"/>
      <c r="C114" s="86"/>
      <c r="D114" s="85"/>
      <c r="E114" s="86"/>
      <c r="F114" s="46">
        <f>+C114-E114</f>
        <v>0</v>
      </c>
      <c r="G114" s="56"/>
      <c r="H114" s="56"/>
      <c r="I114" s="98">
        <f>+C114-H114</f>
        <v>0</v>
      </c>
      <c r="J114" s="85"/>
      <c r="K114" s="770"/>
      <c r="L114" s="770"/>
    </row>
    <row r="115" spans="1:13" ht="12.75" customHeight="1" x14ac:dyDescent="0.3">
      <c r="A115" s="99" t="s">
        <v>149</v>
      </c>
      <c r="B115" s="86"/>
      <c r="C115" s="86"/>
      <c r="D115" s="85"/>
      <c r="E115" s="86"/>
      <c r="F115" s="46">
        <f>+C115-E115</f>
        <v>0</v>
      </c>
      <c r="G115" s="56"/>
      <c r="H115" s="56"/>
      <c r="I115" s="98">
        <f>+C115-H115</f>
        <v>0</v>
      </c>
      <c r="J115" s="85"/>
      <c r="K115" s="770"/>
      <c r="L115" s="770"/>
    </row>
    <row r="116" spans="1:13" ht="12.75" customHeight="1" x14ac:dyDescent="0.3">
      <c r="A116" s="100" t="s">
        <v>151</v>
      </c>
      <c r="B116" s="63">
        <f t="shared" ref="B116:K116" si="13">+B108+B109</f>
        <v>36977490.149999999</v>
      </c>
      <c r="C116" s="63">
        <f t="shared" si="13"/>
        <v>38372266.600000001</v>
      </c>
      <c r="D116" s="63">
        <f t="shared" si="13"/>
        <v>4060145.65</v>
      </c>
      <c r="E116" s="63">
        <f t="shared" si="13"/>
        <v>9026205.0199999996</v>
      </c>
      <c r="F116" s="63">
        <f t="shared" si="13"/>
        <v>47398471.620000005</v>
      </c>
      <c r="G116" s="63">
        <f t="shared" si="13"/>
        <v>3741861.81</v>
      </c>
      <c r="H116" s="63">
        <f t="shared" si="13"/>
        <v>0</v>
      </c>
      <c r="I116" s="63">
        <f t="shared" si="13"/>
        <v>38372266.600000001</v>
      </c>
      <c r="J116" s="63">
        <f t="shared" si="13"/>
        <v>0</v>
      </c>
      <c r="K116" s="790">
        <f t="shared" si="13"/>
        <v>0</v>
      </c>
      <c r="L116" s="790"/>
    </row>
    <row r="117" spans="1:13" ht="14.65" customHeight="1" x14ac:dyDescent="0.3">
      <c r="A117" s="93" t="s">
        <v>152</v>
      </c>
      <c r="B117" s="69"/>
      <c r="C117" s="69"/>
      <c r="D117" s="69"/>
      <c r="E117" s="101">
        <f>IF($I$85-E116&lt;0,0,$I$85-E116)</f>
        <v>0</v>
      </c>
      <c r="F117" s="69"/>
      <c r="G117" s="69"/>
      <c r="H117" s="101">
        <f>IF($I$85-H116&lt;0,0,$I$85-H116)</f>
        <v>8110831.4500000011</v>
      </c>
      <c r="I117" s="69"/>
      <c r="J117" s="101"/>
      <c r="K117" s="791"/>
      <c r="L117" s="791"/>
      <c r="M117" s="28"/>
    </row>
    <row r="118" spans="1:13" ht="12.75" customHeight="1" x14ac:dyDescent="0.3">
      <c r="A118" s="102" t="s">
        <v>153</v>
      </c>
      <c r="B118" s="103">
        <f>+B117+B116</f>
        <v>36977490.149999999</v>
      </c>
      <c r="C118" s="103">
        <f>+C117+C116</f>
        <v>38372266.600000001</v>
      </c>
      <c r="D118" s="103">
        <f>+D117+D116</f>
        <v>4060145.65</v>
      </c>
      <c r="E118" s="103">
        <f>+E117+E116</f>
        <v>9026205.0199999996</v>
      </c>
      <c r="F118" s="69"/>
      <c r="G118" s="69"/>
      <c r="H118" s="103">
        <f>+H117+H116</f>
        <v>8110831.4500000011</v>
      </c>
      <c r="I118" s="69"/>
      <c r="J118" s="103">
        <f>+J117+J116</f>
        <v>0</v>
      </c>
      <c r="K118" s="791"/>
      <c r="L118" s="791"/>
      <c r="M118" s="104"/>
    </row>
    <row r="119" spans="1:13" ht="12.75" customHeight="1" x14ac:dyDescent="0.3">
      <c r="A119" s="83" t="s">
        <v>154</v>
      </c>
      <c r="B119" s="105"/>
      <c r="C119" s="105"/>
      <c r="D119" s="69"/>
      <c r="E119" s="105"/>
      <c r="F119" s="106">
        <f>+C119-E119</f>
        <v>0</v>
      </c>
      <c r="G119" s="69"/>
      <c r="H119" s="105"/>
      <c r="I119" s="106">
        <f>+C119-H119</f>
        <v>0</v>
      </c>
      <c r="J119" s="69"/>
      <c r="K119" s="791"/>
      <c r="L119" s="791"/>
      <c r="M119" s="90"/>
    </row>
    <row r="120" spans="1:13" ht="12.75" customHeight="1" x14ac:dyDescent="0.3">
      <c r="A120" s="792" t="s">
        <v>155</v>
      </c>
      <c r="B120" s="792"/>
      <c r="C120" s="792"/>
      <c r="D120" s="792"/>
      <c r="E120" s="792"/>
      <c r="F120" s="792"/>
      <c r="G120" s="792"/>
      <c r="H120" s="792"/>
      <c r="I120" s="792"/>
      <c r="J120" s="792"/>
      <c r="K120" s="792"/>
      <c r="L120" s="18"/>
      <c r="M120" s="104"/>
    </row>
    <row r="121" spans="1:13" ht="12.75" customHeight="1" x14ac:dyDescent="0.3">
      <c r="A121" s="785" t="s">
        <v>156</v>
      </c>
      <c r="B121" s="785"/>
      <c r="C121" s="785"/>
      <c r="D121" s="107"/>
      <c r="E121" s="107"/>
      <c r="F121" s="107"/>
      <c r="G121" s="107"/>
      <c r="H121" s="107"/>
      <c r="I121" s="107"/>
      <c r="J121" s="107"/>
      <c r="K121" s="107"/>
      <c r="L121" s="18"/>
    </row>
    <row r="122" spans="1:13" ht="12.75" customHeight="1" x14ac:dyDescent="0.3">
      <c r="A122" s="107"/>
      <c r="B122" s="107"/>
      <c r="C122" s="107"/>
      <c r="D122" s="107"/>
      <c r="E122" s="107"/>
      <c r="F122" s="107"/>
      <c r="G122" s="107"/>
      <c r="H122" s="108"/>
      <c r="I122" s="100"/>
      <c r="J122" s="107"/>
      <c r="K122" s="107"/>
      <c r="L122" s="18"/>
    </row>
    <row r="123" spans="1:13" s="111" customFormat="1" ht="11.25" customHeight="1" x14ac:dyDescent="0.3">
      <c r="A123" s="109"/>
      <c r="B123" s="786" t="s">
        <v>34</v>
      </c>
      <c r="C123" s="786"/>
      <c r="D123" s="786" t="s">
        <v>35</v>
      </c>
      <c r="E123" s="786"/>
      <c r="F123" s="787" t="s">
        <v>36</v>
      </c>
      <c r="G123" s="787"/>
      <c r="H123" s="787"/>
      <c r="I123" s="787"/>
      <c r="J123" s="787"/>
      <c r="K123" s="787"/>
      <c r="L123" s="110" t="s">
        <v>37</v>
      </c>
    </row>
    <row r="124" spans="1:13" ht="11.25" customHeight="1" x14ac:dyDescent="0.3">
      <c r="A124" s="112" t="s">
        <v>157</v>
      </c>
      <c r="B124" s="786"/>
      <c r="C124" s="786"/>
      <c r="D124" s="786"/>
      <c r="E124" s="786"/>
      <c r="F124" s="788" t="s">
        <v>38</v>
      </c>
      <c r="G124" s="788"/>
      <c r="H124" s="30" t="s">
        <v>39</v>
      </c>
      <c r="I124" s="789" t="s">
        <v>40</v>
      </c>
      <c r="J124" s="789"/>
      <c r="K124" s="31" t="s">
        <v>39</v>
      </c>
      <c r="L124" s="29"/>
    </row>
    <row r="125" spans="1:13" ht="11.25" customHeight="1" x14ac:dyDescent="0.3">
      <c r="A125" s="113"/>
      <c r="B125" s="114"/>
      <c r="C125" s="115"/>
      <c r="D125" s="783" t="s">
        <v>41</v>
      </c>
      <c r="E125" s="783"/>
      <c r="F125" s="783" t="s">
        <v>42</v>
      </c>
      <c r="G125" s="783"/>
      <c r="H125" s="33" t="s">
        <v>43</v>
      </c>
      <c r="I125" s="783" t="s">
        <v>44</v>
      </c>
      <c r="J125" s="783"/>
      <c r="K125" s="34" t="s">
        <v>45</v>
      </c>
      <c r="L125" s="32" t="s">
        <v>46</v>
      </c>
    </row>
    <row r="126" spans="1:13" ht="11.25" customHeight="1" x14ac:dyDescent="0.3">
      <c r="A126" s="116" t="s">
        <v>158</v>
      </c>
      <c r="B126" s="784">
        <f>+B127+B167</f>
        <v>0</v>
      </c>
      <c r="C126" s="784"/>
      <c r="D126" s="784">
        <f>+D127+D167</f>
        <v>0</v>
      </c>
      <c r="E126" s="784"/>
      <c r="F126" s="784">
        <f>+F127+F167</f>
        <v>0</v>
      </c>
      <c r="G126" s="784"/>
      <c r="H126" s="59">
        <f>IF($D126="",0,IF($D126=0,0,+F126/$D126))</f>
        <v>0</v>
      </c>
      <c r="I126" s="784">
        <f>+I127+I167</f>
        <v>0</v>
      </c>
      <c r="J126" s="784"/>
      <c r="K126" s="59">
        <f t="shared" ref="K126:K185" si="14">IF($D126="",0,IF($D126=0,0,+I126/$D126))</f>
        <v>0</v>
      </c>
      <c r="L126" s="37">
        <f t="shared" ref="L126:L188" si="15">+D126-I126</f>
        <v>0</v>
      </c>
    </row>
    <row r="127" spans="1:13" ht="11.25" customHeight="1" x14ac:dyDescent="0.3">
      <c r="A127" s="38" t="s">
        <v>48</v>
      </c>
      <c r="B127" s="781">
        <f>+B128+B132+B136+B144+B148+B153+B154+B161</f>
        <v>0</v>
      </c>
      <c r="C127" s="781"/>
      <c r="D127" s="781">
        <f>+D128+D132+D136+D144+D148+D153+D154+D161</f>
        <v>0</v>
      </c>
      <c r="E127" s="781"/>
      <c r="F127" s="781">
        <f>+F128+F132+F136+F144+F148+F153+F154+F161</f>
        <v>0</v>
      </c>
      <c r="G127" s="781"/>
      <c r="H127" s="39">
        <f>IF($D127="",0,IF($D127=0,0,+F127/$D127))</f>
        <v>0</v>
      </c>
      <c r="I127" s="781">
        <f>+I128+I132+I136+I144+I148+I153+I154+I161</f>
        <v>0</v>
      </c>
      <c r="J127" s="781"/>
      <c r="K127" s="39">
        <f t="shared" si="14"/>
        <v>0</v>
      </c>
      <c r="L127" s="40">
        <f t="shared" si="15"/>
        <v>0</v>
      </c>
    </row>
    <row r="128" spans="1:13" ht="11.25" customHeight="1" x14ac:dyDescent="0.3">
      <c r="A128" s="41" t="s">
        <v>49</v>
      </c>
      <c r="B128" s="773">
        <f>SUM(B129:C131)</f>
        <v>0</v>
      </c>
      <c r="C128" s="773"/>
      <c r="D128" s="773">
        <f>SUM(D129:E131)</f>
        <v>0</v>
      </c>
      <c r="E128" s="773"/>
      <c r="F128" s="773">
        <f>SUM(F129:G131)</f>
        <v>0</v>
      </c>
      <c r="G128" s="773"/>
      <c r="H128" s="42">
        <f>IF($D128="",0,IF($D128=0,0,+F128/$D128))</f>
        <v>0</v>
      </c>
      <c r="I128" s="773">
        <f>SUM(I129:J131)</f>
        <v>0</v>
      </c>
      <c r="J128" s="773"/>
      <c r="K128" s="42">
        <f t="shared" si="14"/>
        <v>0</v>
      </c>
      <c r="L128" s="43">
        <f t="shared" si="15"/>
        <v>0</v>
      </c>
    </row>
    <row r="129" spans="1:12" ht="11.25" customHeight="1" x14ac:dyDescent="0.3">
      <c r="A129" s="44" t="s">
        <v>50</v>
      </c>
      <c r="B129" s="770"/>
      <c r="C129" s="770"/>
      <c r="D129" s="770"/>
      <c r="E129" s="770"/>
      <c r="F129" s="770"/>
      <c r="G129" s="770"/>
      <c r="H129" s="45">
        <f>IF($D129="",0,IF($D129=0,0,+F129/$D129))</f>
        <v>0</v>
      </c>
      <c r="I129" s="770"/>
      <c r="J129" s="770"/>
      <c r="K129" s="45">
        <f t="shared" si="14"/>
        <v>0</v>
      </c>
      <c r="L129" s="46">
        <f t="shared" si="15"/>
        <v>0</v>
      </c>
    </row>
    <row r="130" spans="1:12" ht="11.25" customHeight="1" x14ac:dyDescent="0.3">
      <c r="A130" s="44" t="s">
        <v>51</v>
      </c>
      <c r="B130" s="770"/>
      <c r="C130" s="770"/>
      <c r="D130" s="770"/>
      <c r="E130" s="770"/>
      <c r="F130" s="770"/>
      <c r="G130" s="770"/>
      <c r="H130" s="45">
        <f t="shared" ref="H130:H188" si="16">IF(D130="",0,IF(D130=0,0,+F130/D130))</f>
        <v>0</v>
      </c>
      <c r="I130" s="770"/>
      <c r="J130" s="770"/>
      <c r="K130" s="45">
        <f t="shared" si="14"/>
        <v>0</v>
      </c>
      <c r="L130" s="46">
        <f t="shared" si="15"/>
        <v>0</v>
      </c>
    </row>
    <row r="131" spans="1:12" ht="11.25" customHeight="1" x14ac:dyDescent="0.3">
      <c r="A131" s="44" t="s">
        <v>52</v>
      </c>
      <c r="B131" s="770"/>
      <c r="C131" s="770"/>
      <c r="D131" s="770"/>
      <c r="E131" s="770"/>
      <c r="F131" s="770"/>
      <c r="G131" s="770"/>
      <c r="H131" s="45">
        <f t="shared" si="16"/>
        <v>0</v>
      </c>
      <c r="I131" s="770"/>
      <c r="J131" s="770"/>
      <c r="K131" s="45">
        <f t="shared" si="14"/>
        <v>0</v>
      </c>
      <c r="L131" s="46">
        <f t="shared" si="15"/>
        <v>0</v>
      </c>
    </row>
    <row r="132" spans="1:12" ht="11.25" customHeight="1" x14ac:dyDescent="0.3">
      <c r="A132" s="41" t="s">
        <v>53</v>
      </c>
      <c r="B132" s="773">
        <f>SUM(B133:C135)</f>
        <v>0</v>
      </c>
      <c r="C132" s="773"/>
      <c r="D132" s="773">
        <f>SUM(D133:E135)</f>
        <v>0</v>
      </c>
      <c r="E132" s="773"/>
      <c r="F132" s="773">
        <f>SUM(F133:G135)</f>
        <v>0</v>
      </c>
      <c r="G132" s="773"/>
      <c r="H132" s="42">
        <f t="shared" si="16"/>
        <v>0</v>
      </c>
      <c r="I132" s="773">
        <f>SUM(I133:J135)</f>
        <v>0</v>
      </c>
      <c r="J132" s="773"/>
      <c r="K132" s="42">
        <f t="shared" si="14"/>
        <v>0</v>
      </c>
      <c r="L132" s="43">
        <f t="shared" si="15"/>
        <v>0</v>
      </c>
    </row>
    <row r="133" spans="1:12" ht="11.25" customHeight="1" x14ac:dyDescent="0.3">
      <c r="A133" s="44" t="s">
        <v>54</v>
      </c>
      <c r="B133" s="770"/>
      <c r="C133" s="770"/>
      <c r="D133" s="770"/>
      <c r="E133" s="770"/>
      <c r="F133" s="770"/>
      <c r="G133" s="770"/>
      <c r="H133" s="45">
        <f t="shared" si="16"/>
        <v>0</v>
      </c>
      <c r="I133" s="770"/>
      <c r="J133" s="770"/>
      <c r="K133" s="45">
        <f t="shared" si="14"/>
        <v>0</v>
      </c>
      <c r="L133" s="46">
        <f t="shared" si="15"/>
        <v>0</v>
      </c>
    </row>
    <row r="134" spans="1:12" ht="11.25" customHeight="1" x14ac:dyDescent="0.3">
      <c r="A134" s="44" t="s">
        <v>55</v>
      </c>
      <c r="B134" s="770"/>
      <c r="C134" s="770"/>
      <c r="D134" s="770"/>
      <c r="E134" s="770"/>
      <c r="F134" s="770"/>
      <c r="G134" s="770"/>
      <c r="H134" s="45">
        <f t="shared" si="16"/>
        <v>0</v>
      </c>
      <c r="I134" s="770"/>
      <c r="J134" s="770"/>
      <c r="K134" s="45">
        <f t="shared" si="14"/>
        <v>0</v>
      </c>
      <c r="L134" s="46">
        <f t="shared" si="15"/>
        <v>0</v>
      </c>
    </row>
    <row r="135" spans="1:12" ht="11.25" customHeight="1" x14ac:dyDescent="0.3">
      <c r="A135" s="44" t="s">
        <v>56</v>
      </c>
      <c r="B135" s="770"/>
      <c r="C135" s="770"/>
      <c r="D135" s="770"/>
      <c r="E135" s="770"/>
      <c r="F135" s="770"/>
      <c r="G135" s="770"/>
      <c r="H135" s="45">
        <f t="shared" si="16"/>
        <v>0</v>
      </c>
      <c r="I135" s="770"/>
      <c r="J135" s="770"/>
      <c r="K135" s="45">
        <f t="shared" si="14"/>
        <v>0</v>
      </c>
      <c r="L135" s="46">
        <f t="shared" si="15"/>
        <v>0</v>
      </c>
    </row>
    <row r="136" spans="1:12" ht="11.25" customHeight="1" x14ac:dyDescent="0.3">
      <c r="A136" s="41" t="s">
        <v>57</v>
      </c>
      <c r="B136" s="773">
        <f>SUM(B137:C143)</f>
        <v>0</v>
      </c>
      <c r="C136" s="773"/>
      <c r="D136" s="773">
        <f>SUM(D137:E143)</f>
        <v>0</v>
      </c>
      <c r="E136" s="773"/>
      <c r="F136" s="773">
        <f>SUM(F137:G143)</f>
        <v>0</v>
      </c>
      <c r="G136" s="773"/>
      <c r="H136" s="42">
        <f t="shared" si="16"/>
        <v>0</v>
      </c>
      <c r="I136" s="773">
        <f>SUM(I137:J143)</f>
        <v>0</v>
      </c>
      <c r="J136" s="773"/>
      <c r="K136" s="42">
        <f t="shared" si="14"/>
        <v>0</v>
      </c>
      <c r="L136" s="43">
        <f t="shared" si="15"/>
        <v>0</v>
      </c>
    </row>
    <row r="137" spans="1:12" ht="11.25" customHeight="1" x14ac:dyDescent="0.3">
      <c r="A137" s="44" t="s">
        <v>58</v>
      </c>
      <c r="B137" s="770"/>
      <c r="C137" s="770"/>
      <c r="D137" s="770"/>
      <c r="E137" s="770"/>
      <c r="F137" s="770"/>
      <c r="G137" s="770"/>
      <c r="H137" s="45">
        <f t="shared" si="16"/>
        <v>0</v>
      </c>
      <c r="I137" s="770"/>
      <c r="J137" s="770"/>
      <c r="K137" s="45">
        <f t="shared" si="14"/>
        <v>0</v>
      </c>
      <c r="L137" s="46">
        <f t="shared" si="15"/>
        <v>0</v>
      </c>
    </row>
    <row r="138" spans="1:12" ht="11.25" customHeight="1" x14ac:dyDescent="0.3">
      <c r="A138" s="44" t="s">
        <v>59</v>
      </c>
      <c r="B138" s="770"/>
      <c r="C138" s="770"/>
      <c r="D138" s="770"/>
      <c r="E138" s="770"/>
      <c r="F138" s="770"/>
      <c r="G138" s="770"/>
      <c r="H138" s="45">
        <f t="shared" si="16"/>
        <v>0</v>
      </c>
      <c r="I138" s="770"/>
      <c r="J138" s="770"/>
      <c r="K138" s="45">
        <f t="shared" si="14"/>
        <v>0</v>
      </c>
      <c r="L138" s="46">
        <f t="shared" si="15"/>
        <v>0</v>
      </c>
    </row>
    <row r="139" spans="1:12" ht="11.25" customHeight="1" x14ac:dyDescent="0.3">
      <c r="A139" s="44" t="s">
        <v>60</v>
      </c>
      <c r="B139" s="770"/>
      <c r="C139" s="770"/>
      <c r="D139" s="770"/>
      <c r="E139" s="770"/>
      <c r="F139" s="770"/>
      <c r="G139" s="770"/>
      <c r="H139" s="45">
        <f t="shared" si="16"/>
        <v>0</v>
      </c>
      <c r="I139" s="770"/>
      <c r="J139" s="770"/>
      <c r="K139" s="45">
        <f t="shared" si="14"/>
        <v>0</v>
      </c>
      <c r="L139" s="46">
        <f t="shared" si="15"/>
        <v>0</v>
      </c>
    </row>
    <row r="140" spans="1:12" ht="10.5" customHeight="1" x14ac:dyDescent="0.3">
      <c r="A140" s="44" t="s">
        <v>61</v>
      </c>
      <c r="B140" s="770"/>
      <c r="C140" s="770"/>
      <c r="D140" s="770"/>
      <c r="E140" s="770"/>
      <c r="F140" s="770"/>
      <c r="G140" s="770"/>
      <c r="H140" s="45">
        <f t="shared" si="16"/>
        <v>0</v>
      </c>
      <c r="I140" s="770"/>
      <c r="J140" s="770"/>
      <c r="K140" s="45">
        <f t="shared" si="14"/>
        <v>0</v>
      </c>
      <c r="L140" s="46">
        <f t="shared" si="15"/>
        <v>0</v>
      </c>
    </row>
    <row r="141" spans="1:12" s="117" customFormat="1" ht="24" customHeight="1" x14ac:dyDescent="0.3">
      <c r="A141" s="51" t="s">
        <v>62</v>
      </c>
      <c r="B141" s="782"/>
      <c r="C141" s="782"/>
      <c r="D141" s="782"/>
      <c r="E141" s="782"/>
      <c r="F141" s="782"/>
      <c r="G141" s="782"/>
      <c r="H141" s="49">
        <f t="shared" si="16"/>
        <v>0</v>
      </c>
      <c r="I141" s="782"/>
      <c r="J141" s="782"/>
      <c r="K141" s="49">
        <f t="shared" si="14"/>
        <v>0</v>
      </c>
      <c r="L141" s="50">
        <f t="shared" si="15"/>
        <v>0</v>
      </c>
    </row>
    <row r="142" spans="1:12" ht="11.25" customHeight="1" x14ac:dyDescent="0.3">
      <c r="A142" s="51" t="s">
        <v>63</v>
      </c>
      <c r="B142" s="770"/>
      <c r="C142" s="770"/>
      <c r="D142" s="770"/>
      <c r="E142" s="770"/>
      <c r="F142" s="770"/>
      <c r="G142" s="770"/>
      <c r="H142" s="45">
        <f t="shared" si="16"/>
        <v>0</v>
      </c>
      <c r="I142" s="770"/>
      <c r="J142" s="770"/>
      <c r="K142" s="45">
        <f t="shared" si="14"/>
        <v>0</v>
      </c>
      <c r="L142" s="46">
        <f t="shared" si="15"/>
        <v>0</v>
      </c>
    </row>
    <row r="143" spans="1:12" ht="11.25" customHeight="1" x14ac:dyDescent="0.3">
      <c r="A143" s="44" t="s">
        <v>64</v>
      </c>
      <c r="B143" s="770"/>
      <c r="C143" s="770"/>
      <c r="D143" s="770"/>
      <c r="E143" s="770"/>
      <c r="F143" s="770"/>
      <c r="G143" s="770"/>
      <c r="H143" s="45">
        <f t="shared" si="16"/>
        <v>0</v>
      </c>
      <c r="I143" s="770"/>
      <c r="J143" s="770"/>
      <c r="K143" s="45">
        <f t="shared" si="14"/>
        <v>0</v>
      </c>
      <c r="L143" s="46">
        <f t="shared" si="15"/>
        <v>0</v>
      </c>
    </row>
    <row r="144" spans="1:12" ht="11.25" customHeight="1" x14ac:dyDescent="0.3">
      <c r="A144" s="41" t="s">
        <v>65</v>
      </c>
      <c r="B144" s="773">
        <f>SUM(B145:C147)</f>
        <v>0</v>
      </c>
      <c r="C144" s="773"/>
      <c r="D144" s="773">
        <f>SUM(D145:E147)</f>
        <v>0</v>
      </c>
      <c r="E144" s="773"/>
      <c r="F144" s="773">
        <f>SUM(F145:G147)</f>
        <v>0</v>
      </c>
      <c r="G144" s="773"/>
      <c r="H144" s="42">
        <f t="shared" si="16"/>
        <v>0</v>
      </c>
      <c r="I144" s="773">
        <f>SUM(I145:J147)</f>
        <v>0</v>
      </c>
      <c r="J144" s="773"/>
      <c r="K144" s="42">
        <f t="shared" si="14"/>
        <v>0</v>
      </c>
      <c r="L144" s="43">
        <f t="shared" si="15"/>
        <v>0</v>
      </c>
    </row>
    <row r="145" spans="1:12" ht="11.25" customHeight="1" x14ac:dyDescent="0.3">
      <c r="A145" s="44" t="s">
        <v>66</v>
      </c>
      <c r="B145" s="770"/>
      <c r="C145" s="770"/>
      <c r="D145" s="770"/>
      <c r="E145" s="770"/>
      <c r="F145" s="770"/>
      <c r="G145" s="770"/>
      <c r="H145" s="45">
        <f t="shared" si="16"/>
        <v>0</v>
      </c>
      <c r="I145" s="770"/>
      <c r="J145" s="770"/>
      <c r="K145" s="45">
        <f t="shared" si="14"/>
        <v>0</v>
      </c>
      <c r="L145" s="46">
        <f t="shared" si="15"/>
        <v>0</v>
      </c>
    </row>
    <row r="146" spans="1:12" ht="11.25" customHeight="1" x14ac:dyDescent="0.3">
      <c r="A146" s="44" t="s">
        <v>67</v>
      </c>
      <c r="B146" s="770"/>
      <c r="C146" s="770"/>
      <c r="D146" s="770"/>
      <c r="E146" s="770"/>
      <c r="F146" s="770"/>
      <c r="G146" s="770"/>
      <c r="H146" s="45">
        <f t="shared" si="16"/>
        <v>0</v>
      </c>
      <c r="I146" s="770"/>
      <c r="J146" s="770"/>
      <c r="K146" s="45">
        <f t="shared" si="14"/>
        <v>0</v>
      </c>
      <c r="L146" s="46">
        <f t="shared" si="15"/>
        <v>0</v>
      </c>
    </row>
    <row r="147" spans="1:12" ht="11.25" customHeight="1" x14ac:dyDescent="0.3">
      <c r="A147" s="44" t="s">
        <v>68</v>
      </c>
      <c r="B147" s="770"/>
      <c r="C147" s="770"/>
      <c r="D147" s="770"/>
      <c r="E147" s="770"/>
      <c r="F147" s="770"/>
      <c r="G147" s="770"/>
      <c r="H147" s="45">
        <f t="shared" si="16"/>
        <v>0</v>
      </c>
      <c r="I147" s="770"/>
      <c r="J147" s="770"/>
      <c r="K147" s="45">
        <f t="shared" si="14"/>
        <v>0</v>
      </c>
      <c r="L147" s="46">
        <f t="shared" si="15"/>
        <v>0</v>
      </c>
    </row>
    <row r="148" spans="1:12" ht="11.25" customHeight="1" x14ac:dyDescent="0.3">
      <c r="A148" s="41" t="s">
        <v>69</v>
      </c>
      <c r="B148" s="773">
        <f>SUM(B149:C152)</f>
        <v>0</v>
      </c>
      <c r="C148" s="773"/>
      <c r="D148" s="773">
        <f>SUM(D149:E152)</f>
        <v>0</v>
      </c>
      <c r="E148" s="773"/>
      <c r="F148" s="773">
        <f>SUM(F149:G152)</f>
        <v>0</v>
      </c>
      <c r="G148" s="773"/>
      <c r="H148" s="42">
        <f t="shared" si="16"/>
        <v>0</v>
      </c>
      <c r="I148" s="773">
        <f>SUM(I149:J152)</f>
        <v>0</v>
      </c>
      <c r="J148" s="773"/>
      <c r="K148" s="42">
        <f t="shared" si="14"/>
        <v>0</v>
      </c>
      <c r="L148" s="43">
        <f t="shared" si="15"/>
        <v>0</v>
      </c>
    </row>
    <row r="149" spans="1:12" ht="11.25" customHeight="1" x14ac:dyDescent="0.3">
      <c r="A149" s="44" t="s">
        <v>70</v>
      </c>
      <c r="B149" s="770"/>
      <c r="C149" s="770"/>
      <c r="D149" s="770"/>
      <c r="E149" s="770"/>
      <c r="F149" s="770"/>
      <c r="G149" s="770"/>
      <c r="H149" s="45">
        <f t="shared" si="16"/>
        <v>0</v>
      </c>
      <c r="I149" s="770"/>
      <c r="J149" s="770"/>
      <c r="K149" s="45">
        <f t="shared" si="14"/>
        <v>0</v>
      </c>
      <c r="L149" s="46">
        <f t="shared" si="15"/>
        <v>0</v>
      </c>
    </row>
    <row r="150" spans="1:12" ht="11.25" customHeight="1" x14ac:dyDescent="0.3">
      <c r="A150" s="44" t="s">
        <v>71</v>
      </c>
      <c r="B150" s="770"/>
      <c r="C150" s="770"/>
      <c r="D150" s="770"/>
      <c r="E150" s="770"/>
      <c r="F150" s="770"/>
      <c r="G150" s="770"/>
      <c r="H150" s="45">
        <f t="shared" si="16"/>
        <v>0</v>
      </c>
      <c r="I150" s="770"/>
      <c r="J150" s="770"/>
      <c r="K150" s="45">
        <f t="shared" si="14"/>
        <v>0</v>
      </c>
      <c r="L150" s="46">
        <f t="shared" si="15"/>
        <v>0</v>
      </c>
    </row>
    <row r="151" spans="1:12" ht="11.25" customHeight="1" x14ac:dyDescent="0.3">
      <c r="A151" s="44" t="s">
        <v>72</v>
      </c>
      <c r="B151" s="770"/>
      <c r="C151" s="770"/>
      <c r="D151" s="770"/>
      <c r="E151" s="770"/>
      <c r="F151" s="770"/>
      <c r="G151" s="770"/>
      <c r="H151" s="45">
        <f t="shared" si="16"/>
        <v>0</v>
      </c>
      <c r="I151" s="770"/>
      <c r="J151" s="770"/>
      <c r="K151" s="45">
        <f t="shared" si="14"/>
        <v>0</v>
      </c>
      <c r="L151" s="46">
        <f t="shared" si="15"/>
        <v>0</v>
      </c>
    </row>
    <row r="152" spans="1:12" ht="11.25" customHeight="1" x14ac:dyDescent="0.3">
      <c r="A152" s="44" t="s">
        <v>159</v>
      </c>
      <c r="B152" s="770"/>
      <c r="C152" s="770"/>
      <c r="D152" s="770"/>
      <c r="E152" s="770"/>
      <c r="F152" s="770"/>
      <c r="G152" s="770"/>
      <c r="H152" s="45">
        <f t="shared" si="16"/>
        <v>0</v>
      </c>
      <c r="I152" s="770"/>
      <c r="J152" s="770"/>
      <c r="K152" s="45">
        <f t="shared" si="14"/>
        <v>0</v>
      </c>
      <c r="L152" s="46">
        <f t="shared" si="15"/>
        <v>0</v>
      </c>
    </row>
    <row r="153" spans="1:12" ht="11.25" customHeight="1" x14ac:dyDescent="0.3">
      <c r="A153" s="41" t="s">
        <v>74</v>
      </c>
      <c r="B153" s="770"/>
      <c r="C153" s="770"/>
      <c r="D153" s="770"/>
      <c r="E153" s="770"/>
      <c r="F153" s="770"/>
      <c r="G153" s="770"/>
      <c r="H153" s="42">
        <f t="shared" si="16"/>
        <v>0</v>
      </c>
      <c r="I153" s="770"/>
      <c r="J153" s="770"/>
      <c r="K153" s="42">
        <f t="shared" si="14"/>
        <v>0</v>
      </c>
      <c r="L153" s="43">
        <f t="shared" si="15"/>
        <v>0</v>
      </c>
    </row>
    <row r="154" spans="1:12" ht="11.25" customHeight="1" x14ac:dyDescent="0.3">
      <c r="A154" s="41" t="s">
        <v>75</v>
      </c>
      <c r="B154" s="773">
        <f>SUM(B155:C160)</f>
        <v>0</v>
      </c>
      <c r="C154" s="773"/>
      <c r="D154" s="773">
        <f>SUM(D155:E160)</f>
        <v>0</v>
      </c>
      <c r="E154" s="773"/>
      <c r="F154" s="773">
        <f>SUM(F155:G160)</f>
        <v>0</v>
      </c>
      <c r="G154" s="773"/>
      <c r="H154" s="42">
        <f t="shared" si="16"/>
        <v>0</v>
      </c>
      <c r="I154" s="773">
        <f>SUM(I155:J160)</f>
        <v>0</v>
      </c>
      <c r="J154" s="773"/>
      <c r="K154" s="42">
        <f t="shared" si="14"/>
        <v>0</v>
      </c>
      <c r="L154" s="43">
        <f t="shared" si="15"/>
        <v>0</v>
      </c>
    </row>
    <row r="155" spans="1:12" ht="11.25" customHeight="1" x14ac:dyDescent="0.3">
      <c r="A155" s="44" t="s">
        <v>76</v>
      </c>
      <c r="B155" s="770"/>
      <c r="C155" s="770"/>
      <c r="D155" s="770"/>
      <c r="E155" s="770"/>
      <c r="F155" s="770"/>
      <c r="G155" s="770"/>
      <c r="H155" s="45">
        <f t="shared" si="16"/>
        <v>0</v>
      </c>
      <c r="I155" s="770"/>
      <c r="J155" s="770"/>
      <c r="K155" s="45">
        <f t="shared" si="14"/>
        <v>0</v>
      </c>
      <c r="L155" s="46">
        <f t="shared" si="15"/>
        <v>0</v>
      </c>
    </row>
    <row r="156" spans="1:12" ht="11.25" customHeight="1" x14ac:dyDescent="0.3">
      <c r="A156" s="44" t="s">
        <v>77</v>
      </c>
      <c r="B156" s="770"/>
      <c r="C156" s="770"/>
      <c r="D156" s="770"/>
      <c r="E156" s="770"/>
      <c r="F156" s="770"/>
      <c r="G156" s="770"/>
      <c r="H156" s="45">
        <f t="shared" si="16"/>
        <v>0</v>
      </c>
      <c r="I156" s="770"/>
      <c r="J156" s="770"/>
      <c r="K156" s="45">
        <f t="shared" si="14"/>
        <v>0</v>
      </c>
      <c r="L156" s="46">
        <f t="shared" si="15"/>
        <v>0</v>
      </c>
    </row>
    <row r="157" spans="1:12" ht="11.25" customHeight="1" x14ac:dyDescent="0.3">
      <c r="A157" s="44" t="s">
        <v>78</v>
      </c>
      <c r="B157" s="770"/>
      <c r="C157" s="770"/>
      <c r="D157" s="770"/>
      <c r="E157" s="770"/>
      <c r="F157" s="770"/>
      <c r="G157" s="770"/>
      <c r="H157" s="45">
        <f t="shared" si="16"/>
        <v>0</v>
      </c>
      <c r="I157" s="770"/>
      <c r="J157" s="770"/>
      <c r="K157" s="45">
        <f t="shared" si="14"/>
        <v>0</v>
      </c>
      <c r="L157" s="46">
        <f t="shared" si="15"/>
        <v>0</v>
      </c>
    </row>
    <row r="158" spans="1:12" ht="11.25" customHeight="1" x14ac:dyDescent="0.3">
      <c r="A158" s="44" t="s">
        <v>79</v>
      </c>
      <c r="B158" s="770"/>
      <c r="C158" s="770"/>
      <c r="D158" s="770"/>
      <c r="E158" s="770"/>
      <c r="F158" s="770"/>
      <c r="G158" s="770"/>
      <c r="H158" s="45">
        <f t="shared" si="16"/>
        <v>0</v>
      </c>
      <c r="I158" s="770"/>
      <c r="J158" s="770"/>
      <c r="K158" s="45">
        <f t="shared" si="14"/>
        <v>0</v>
      </c>
      <c r="L158" s="46">
        <f t="shared" si="15"/>
        <v>0</v>
      </c>
    </row>
    <row r="159" spans="1:12" ht="11.25" customHeight="1" x14ac:dyDescent="0.3">
      <c r="A159" s="44" t="s">
        <v>80</v>
      </c>
      <c r="B159" s="770"/>
      <c r="C159" s="770"/>
      <c r="D159" s="770"/>
      <c r="E159" s="770"/>
      <c r="F159" s="770"/>
      <c r="G159" s="770"/>
      <c r="H159" s="45">
        <f t="shared" si="16"/>
        <v>0</v>
      </c>
      <c r="I159" s="770"/>
      <c r="J159" s="770"/>
      <c r="K159" s="45">
        <f t="shared" si="14"/>
        <v>0</v>
      </c>
      <c r="L159" s="46">
        <f t="shared" si="15"/>
        <v>0</v>
      </c>
    </row>
    <row r="160" spans="1:12" ht="11.25" customHeight="1" x14ac:dyDescent="0.3">
      <c r="A160" s="53" t="s">
        <v>81</v>
      </c>
      <c r="B160" s="770"/>
      <c r="C160" s="770"/>
      <c r="D160" s="770"/>
      <c r="E160" s="770"/>
      <c r="F160" s="770"/>
      <c r="G160" s="770"/>
      <c r="H160" s="45">
        <f t="shared" si="16"/>
        <v>0</v>
      </c>
      <c r="I160" s="770"/>
      <c r="J160" s="770"/>
      <c r="K160" s="45">
        <f t="shared" si="14"/>
        <v>0</v>
      </c>
      <c r="L160" s="46">
        <f t="shared" si="15"/>
        <v>0</v>
      </c>
    </row>
    <row r="161" spans="1:12" ht="11.25" customHeight="1" x14ac:dyDescent="0.3">
      <c r="A161" s="41" t="s">
        <v>82</v>
      </c>
      <c r="B161" s="773">
        <f>SUM(B162:C166)</f>
        <v>0</v>
      </c>
      <c r="C161" s="773"/>
      <c r="D161" s="773">
        <f>SUM(D162:E166)</f>
        <v>0</v>
      </c>
      <c r="E161" s="773"/>
      <c r="F161" s="773">
        <f>SUM(F162:G166)</f>
        <v>0</v>
      </c>
      <c r="G161" s="773"/>
      <c r="H161" s="42">
        <f t="shared" si="16"/>
        <v>0</v>
      </c>
      <c r="I161" s="773">
        <f>SUM(I162:J166)</f>
        <v>0</v>
      </c>
      <c r="J161" s="773"/>
      <c r="K161" s="42">
        <f t="shared" si="14"/>
        <v>0</v>
      </c>
      <c r="L161" s="43">
        <f t="shared" si="15"/>
        <v>0</v>
      </c>
    </row>
    <row r="162" spans="1:12" ht="11.25" customHeight="1" x14ac:dyDescent="0.3">
      <c r="A162" s="44" t="s">
        <v>83</v>
      </c>
      <c r="B162" s="770"/>
      <c r="C162" s="770"/>
      <c r="D162" s="770"/>
      <c r="E162" s="770"/>
      <c r="F162" s="770"/>
      <c r="G162" s="770"/>
      <c r="H162" s="45">
        <f t="shared" si="16"/>
        <v>0</v>
      </c>
      <c r="I162" s="770"/>
      <c r="J162" s="770"/>
      <c r="K162" s="45">
        <f t="shared" si="14"/>
        <v>0</v>
      </c>
      <c r="L162" s="46">
        <f t="shared" si="15"/>
        <v>0</v>
      </c>
    </row>
    <row r="163" spans="1:12" ht="11.25" customHeight="1" x14ac:dyDescent="0.3">
      <c r="A163" s="44" t="s">
        <v>84</v>
      </c>
      <c r="B163" s="770"/>
      <c r="C163" s="770"/>
      <c r="D163" s="770"/>
      <c r="E163" s="770"/>
      <c r="F163" s="770"/>
      <c r="G163" s="770"/>
      <c r="H163" s="45">
        <f t="shared" si="16"/>
        <v>0</v>
      </c>
      <c r="I163" s="770"/>
      <c r="J163" s="770"/>
      <c r="K163" s="45">
        <f t="shared" si="14"/>
        <v>0</v>
      </c>
      <c r="L163" s="46">
        <f t="shared" si="15"/>
        <v>0</v>
      </c>
    </row>
    <row r="164" spans="1:12" ht="11.25" customHeight="1" x14ac:dyDescent="0.3">
      <c r="A164" s="44" t="s">
        <v>85</v>
      </c>
      <c r="B164" s="770"/>
      <c r="C164" s="770"/>
      <c r="D164" s="770"/>
      <c r="E164" s="770"/>
      <c r="F164" s="770"/>
      <c r="G164" s="770"/>
      <c r="H164" s="45">
        <f t="shared" si="16"/>
        <v>0</v>
      </c>
      <c r="I164" s="770"/>
      <c r="J164" s="770"/>
      <c r="K164" s="45">
        <f t="shared" si="14"/>
        <v>0</v>
      </c>
      <c r="L164" s="46">
        <f t="shared" si="15"/>
        <v>0</v>
      </c>
    </row>
    <row r="165" spans="1:12" ht="24" customHeight="1" x14ac:dyDescent="0.3">
      <c r="A165" s="51" t="s">
        <v>86</v>
      </c>
      <c r="B165" s="782"/>
      <c r="C165" s="782"/>
      <c r="D165" s="782"/>
      <c r="E165" s="782"/>
      <c r="F165" s="782"/>
      <c r="G165" s="782"/>
      <c r="H165" s="49">
        <f t="shared" si="16"/>
        <v>0</v>
      </c>
      <c r="I165" s="782"/>
      <c r="J165" s="782"/>
      <c r="K165" s="49">
        <f t="shared" si="14"/>
        <v>0</v>
      </c>
      <c r="L165" s="50">
        <f t="shared" si="15"/>
        <v>0</v>
      </c>
    </row>
    <row r="166" spans="1:12" ht="11.25" customHeight="1" x14ac:dyDescent="0.3">
      <c r="A166" s="53" t="s">
        <v>87</v>
      </c>
      <c r="B166" s="770"/>
      <c r="C166" s="770"/>
      <c r="D166" s="770"/>
      <c r="E166" s="770"/>
      <c r="F166" s="770"/>
      <c r="G166" s="770"/>
      <c r="H166" s="45">
        <f t="shared" si="16"/>
        <v>0</v>
      </c>
      <c r="I166" s="770"/>
      <c r="J166" s="770"/>
      <c r="K166" s="45">
        <f t="shared" si="14"/>
        <v>0</v>
      </c>
      <c r="L166" s="46">
        <f t="shared" si="15"/>
        <v>0</v>
      </c>
    </row>
    <row r="167" spans="1:12" ht="11.25" customHeight="1" x14ac:dyDescent="0.3">
      <c r="A167" s="38" t="s">
        <v>88</v>
      </c>
      <c r="B167" s="781">
        <f>+B168+B171+B174+B175+B183</f>
        <v>0</v>
      </c>
      <c r="C167" s="781"/>
      <c r="D167" s="781">
        <f>+D168+D171+D174+D175+D183</f>
        <v>0</v>
      </c>
      <c r="E167" s="781"/>
      <c r="F167" s="781">
        <f>+F168+F171+F174+F175+F183</f>
        <v>0</v>
      </c>
      <c r="G167" s="781"/>
      <c r="H167" s="39">
        <f t="shared" si="16"/>
        <v>0</v>
      </c>
      <c r="I167" s="781">
        <f>+I168+I171+I174+I175+I183</f>
        <v>0</v>
      </c>
      <c r="J167" s="781"/>
      <c r="K167" s="39">
        <f t="shared" si="14"/>
        <v>0</v>
      </c>
      <c r="L167" s="40">
        <f t="shared" si="15"/>
        <v>0</v>
      </c>
    </row>
    <row r="168" spans="1:12" ht="11.25" customHeight="1" x14ac:dyDescent="0.3">
      <c r="A168" s="41" t="s">
        <v>89</v>
      </c>
      <c r="B168" s="773">
        <f>SUM(B169:C170)</f>
        <v>0</v>
      </c>
      <c r="C168" s="773"/>
      <c r="D168" s="773">
        <f>SUM(D169:E170)</f>
        <v>0</v>
      </c>
      <c r="E168" s="773"/>
      <c r="F168" s="773">
        <f>SUM(F169:G170)</f>
        <v>0</v>
      </c>
      <c r="G168" s="773"/>
      <c r="H168" s="42">
        <f t="shared" si="16"/>
        <v>0</v>
      </c>
      <c r="I168" s="773">
        <f>SUM(I169:J170)</f>
        <v>0</v>
      </c>
      <c r="J168" s="773"/>
      <c r="K168" s="42">
        <f t="shared" si="14"/>
        <v>0</v>
      </c>
      <c r="L168" s="43">
        <f t="shared" si="15"/>
        <v>0</v>
      </c>
    </row>
    <row r="169" spans="1:12" ht="11.25" customHeight="1" x14ac:dyDescent="0.3">
      <c r="A169" s="44" t="s">
        <v>90</v>
      </c>
      <c r="B169" s="770"/>
      <c r="C169" s="770"/>
      <c r="D169" s="770"/>
      <c r="E169" s="770"/>
      <c r="F169" s="770"/>
      <c r="G169" s="770"/>
      <c r="H169" s="45">
        <f t="shared" si="16"/>
        <v>0</v>
      </c>
      <c r="I169" s="770"/>
      <c r="J169" s="770"/>
      <c r="K169" s="45">
        <f t="shared" si="14"/>
        <v>0</v>
      </c>
      <c r="L169" s="46">
        <f t="shared" si="15"/>
        <v>0</v>
      </c>
    </row>
    <row r="170" spans="1:12" ht="11.25" customHeight="1" x14ac:dyDescent="0.3">
      <c r="A170" s="44" t="s">
        <v>91</v>
      </c>
      <c r="B170" s="770"/>
      <c r="C170" s="770"/>
      <c r="D170" s="770"/>
      <c r="E170" s="770"/>
      <c r="F170" s="770"/>
      <c r="G170" s="770"/>
      <c r="H170" s="45">
        <f t="shared" si="16"/>
        <v>0</v>
      </c>
      <c r="I170" s="770"/>
      <c r="J170" s="770"/>
      <c r="K170" s="45">
        <f t="shared" si="14"/>
        <v>0</v>
      </c>
      <c r="L170" s="46">
        <f t="shared" si="15"/>
        <v>0</v>
      </c>
    </row>
    <row r="171" spans="1:12" ht="11.25" customHeight="1" x14ac:dyDescent="0.3">
      <c r="A171" s="41" t="s">
        <v>92</v>
      </c>
      <c r="B171" s="773">
        <f>SUM(B172:C173)</f>
        <v>0</v>
      </c>
      <c r="C171" s="773"/>
      <c r="D171" s="773">
        <f>SUM(D172:E173)</f>
        <v>0</v>
      </c>
      <c r="E171" s="773"/>
      <c r="F171" s="773">
        <f>SUM(F172:G173)</f>
        <v>0</v>
      </c>
      <c r="G171" s="773"/>
      <c r="H171" s="42">
        <f t="shared" si="16"/>
        <v>0</v>
      </c>
      <c r="I171" s="773">
        <f>SUM(I172:J173)</f>
        <v>0</v>
      </c>
      <c r="J171" s="773"/>
      <c r="K171" s="42">
        <f t="shared" si="14"/>
        <v>0</v>
      </c>
      <c r="L171" s="43">
        <f t="shared" si="15"/>
        <v>0</v>
      </c>
    </row>
    <row r="172" spans="1:12" ht="11.25" customHeight="1" x14ac:dyDescent="0.3">
      <c r="A172" s="44" t="s">
        <v>93</v>
      </c>
      <c r="B172" s="770"/>
      <c r="C172" s="770"/>
      <c r="D172" s="770"/>
      <c r="E172" s="770"/>
      <c r="F172" s="770"/>
      <c r="G172" s="770"/>
      <c r="H172" s="45">
        <f t="shared" si="16"/>
        <v>0</v>
      </c>
      <c r="I172" s="770"/>
      <c r="J172" s="770"/>
      <c r="K172" s="45">
        <f t="shared" si="14"/>
        <v>0</v>
      </c>
      <c r="L172" s="46">
        <f t="shared" si="15"/>
        <v>0</v>
      </c>
    </row>
    <row r="173" spans="1:12" ht="11.25" customHeight="1" x14ac:dyDescent="0.3">
      <c r="A173" s="44" t="s">
        <v>94</v>
      </c>
      <c r="B173" s="770"/>
      <c r="C173" s="770"/>
      <c r="D173" s="770"/>
      <c r="E173" s="770"/>
      <c r="F173" s="770"/>
      <c r="G173" s="770"/>
      <c r="H173" s="45">
        <f t="shared" si="16"/>
        <v>0</v>
      </c>
      <c r="I173" s="770"/>
      <c r="J173" s="770"/>
      <c r="K173" s="45">
        <f t="shared" si="14"/>
        <v>0</v>
      </c>
      <c r="L173" s="46">
        <f t="shared" si="15"/>
        <v>0</v>
      </c>
    </row>
    <row r="174" spans="1:12" ht="11.25" customHeight="1" x14ac:dyDescent="0.3">
      <c r="A174" s="41" t="s">
        <v>95</v>
      </c>
      <c r="B174" s="773"/>
      <c r="C174" s="773"/>
      <c r="D174" s="773"/>
      <c r="E174" s="773"/>
      <c r="F174" s="773"/>
      <c r="G174" s="773"/>
      <c r="H174" s="42">
        <f t="shared" si="16"/>
        <v>0</v>
      </c>
      <c r="I174" s="773"/>
      <c r="J174" s="773"/>
      <c r="K174" s="42">
        <f t="shared" si="14"/>
        <v>0</v>
      </c>
      <c r="L174" s="43">
        <f t="shared" si="15"/>
        <v>0</v>
      </c>
    </row>
    <row r="175" spans="1:12" ht="11.25" customHeight="1" x14ac:dyDescent="0.3">
      <c r="A175" s="41" t="s">
        <v>96</v>
      </c>
      <c r="B175" s="773">
        <f>SUM(B176:C182)</f>
        <v>0</v>
      </c>
      <c r="C175" s="773"/>
      <c r="D175" s="773">
        <f>SUM(D176:E182)</f>
        <v>0</v>
      </c>
      <c r="E175" s="773"/>
      <c r="F175" s="773">
        <f>SUM(F176:G182)</f>
        <v>0</v>
      </c>
      <c r="G175" s="773"/>
      <c r="H175" s="42">
        <f t="shared" si="16"/>
        <v>0</v>
      </c>
      <c r="I175" s="773">
        <f>SUM(I176:J182)</f>
        <v>0</v>
      </c>
      <c r="J175" s="773"/>
      <c r="K175" s="42">
        <f t="shared" si="14"/>
        <v>0</v>
      </c>
      <c r="L175" s="43">
        <f t="shared" si="15"/>
        <v>0</v>
      </c>
    </row>
    <row r="176" spans="1:12" ht="11.25" customHeight="1" x14ac:dyDescent="0.3">
      <c r="A176" s="44" t="s">
        <v>76</v>
      </c>
      <c r="B176" s="770"/>
      <c r="C176" s="770"/>
      <c r="D176" s="770"/>
      <c r="E176" s="770"/>
      <c r="F176" s="770"/>
      <c r="G176" s="770"/>
      <c r="H176" s="45">
        <f t="shared" si="16"/>
        <v>0</v>
      </c>
      <c r="I176" s="770"/>
      <c r="J176" s="770"/>
      <c r="K176" s="45">
        <f t="shared" si="14"/>
        <v>0</v>
      </c>
      <c r="L176" s="46">
        <f t="shared" si="15"/>
        <v>0</v>
      </c>
    </row>
    <row r="177" spans="1:12" ht="11.25" customHeight="1" x14ac:dyDescent="0.3">
      <c r="A177" s="44" t="s">
        <v>77</v>
      </c>
      <c r="B177" s="770"/>
      <c r="C177" s="770"/>
      <c r="D177" s="770"/>
      <c r="E177" s="770"/>
      <c r="F177" s="770"/>
      <c r="G177" s="770"/>
      <c r="H177" s="45">
        <f t="shared" si="16"/>
        <v>0</v>
      </c>
      <c r="I177" s="770"/>
      <c r="J177" s="770"/>
      <c r="K177" s="45">
        <f t="shared" si="14"/>
        <v>0</v>
      </c>
      <c r="L177" s="46">
        <f t="shared" si="15"/>
        <v>0</v>
      </c>
    </row>
    <row r="178" spans="1:12" ht="11.25" customHeight="1" x14ac:dyDescent="0.3">
      <c r="A178" s="44" t="s">
        <v>78</v>
      </c>
      <c r="B178" s="770"/>
      <c r="C178" s="770"/>
      <c r="D178" s="770"/>
      <c r="E178" s="770"/>
      <c r="F178" s="770"/>
      <c r="G178" s="770"/>
      <c r="H178" s="45">
        <f t="shared" si="16"/>
        <v>0</v>
      </c>
      <c r="I178" s="770"/>
      <c r="J178" s="770"/>
      <c r="K178" s="45">
        <f t="shared" si="14"/>
        <v>0</v>
      </c>
      <c r="L178" s="46">
        <f t="shared" si="15"/>
        <v>0</v>
      </c>
    </row>
    <row r="179" spans="1:12" ht="11.25" customHeight="1" x14ac:dyDescent="0.3">
      <c r="A179" s="44" t="s">
        <v>79</v>
      </c>
      <c r="B179" s="770"/>
      <c r="C179" s="770"/>
      <c r="D179" s="770"/>
      <c r="E179" s="770"/>
      <c r="F179" s="770"/>
      <c r="G179" s="770"/>
      <c r="H179" s="45">
        <f t="shared" si="16"/>
        <v>0</v>
      </c>
      <c r="I179" s="770"/>
      <c r="J179" s="770"/>
      <c r="K179" s="45">
        <f t="shared" si="14"/>
        <v>0</v>
      </c>
      <c r="L179" s="46">
        <f t="shared" si="15"/>
        <v>0</v>
      </c>
    </row>
    <row r="180" spans="1:12" ht="11.25" customHeight="1" x14ac:dyDescent="0.3">
      <c r="A180" s="54" t="s">
        <v>97</v>
      </c>
      <c r="B180" s="770"/>
      <c r="C180" s="770"/>
      <c r="D180" s="770"/>
      <c r="E180" s="770"/>
      <c r="F180" s="770"/>
      <c r="G180" s="770"/>
      <c r="H180" s="45">
        <f t="shared" si="16"/>
        <v>0</v>
      </c>
      <c r="I180" s="770"/>
      <c r="J180" s="770"/>
      <c r="K180" s="45">
        <f t="shared" si="14"/>
        <v>0</v>
      </c>
      <c r="L180" s="46">
        <f t="shared" si="15"/>
        <v>0</v>
      </c>
    </row>
    <row r="181" spans="1:12" ht="11.25" customHeight="1" x14ac:dyDescent="0.3">
      <c r="A181" s="54" t="s">
        <v>80</v>
      </c>
      <c r="B181" s="770"/>
      <c r="C181" s="770"/>
      <c r="D181" s="770"/>
      <c r="E181" s="770"/>
      <c r="F181" s="770"/>
      <c r="G181" s="770"/>
      <c r="H181" s="45">
        <f t="shared" si="16"/>
        <v>0</v>
      </c>
      <c r="I181" s="770"/>
      <c r="J181" s="770"/>
      <c r="K181" s="45">
        <f t="shared" si="14"/>
        <v>0</v>
      </c>
      <c r="L181" s="46">
        <f t="shared" si="15"/>
        <v>0</v>
      </c>
    </row>
    <row r="182" spans="1:12" ht="11.25" customHeight="1" x14ac:dyDescent="0.3">
      <c r="A182" s="54" t="s">
        <v>81</v>
      </c>
      <c r="B182" s="770"/>
      <c r="C182" s="770"/>
      <c r="D182" s="770"/>
      <c r="E182" s="770"/>
      <c r="F182" s="770"/>
      <c r="G182" s="770"/>
      <c r="H182" s="45">
        <f t="shared" si="16"/>
        <v>0</v>
      </c>
      <c r="I182" s="770"/>
      <c r="J182" s="770"/>
      <c r="K182" s="45">
        <f t="shared" si="14"/>
        <v>0</v>
      </c>
      <c r="L182" s="46">
        <f t="shared" si="15"/>
        <v>0</v>
      </c>
    </row>
    <row r="183" spans="1:12" ht="11.25" customHeight="1" x14ac:dyDescent="0.3">
      <c r="A183" s="41" t="s">
        <v>98</v>
      </c>
      <c r="B183" s="773">
        <f>SUM(B184:C188)</f>
        <v>0</v>
      </c>
      <c r="C183" s="773"/>
      <c r="D183" s="773">
        <f>SUM(D184:E188)</f>
        <v>0</v>
      </c>
      <c r="E183" s="773"/>
      <c r="F183" s="773">
        <f>SUM(F184:G188)</f>
        <v>0</v>
      </c>
      <c r="G183" s="773"/>
      <c r="H183" s="42">
        <f t="shared" si="16"/>
        <v>0</v>
      </c>
      <c r="I183" s="773">
        <f>SUM(I184:J188)</f>
        <v>0</v>
      </c>
      <c r="J183" s="773"/>
      <c r="K183" s="42">
        <f t="shared" si="14"/>
        <v>0</v>
      </c>
      <c r="L183" s="43">
        <f t="shared" si="15"/>
        <v>0</v>
      </c>
    </row>
    <row r="184" spans="1:12" ht="11.25" customHeight="1" x14ac:dyDescent="0.3">
      <c r="A184" s="44" t="s">
        <v>99</v>
      </c>
      <c r="B184" s="770"/>
      <c r="C184" s="770"/>
      <c r="D184" s="770"/>
      <c r="E184" s="770"/>
      <c r="F184" s="770"/>
      <c r="G184" s="770"/>
      <c r="H184" s="45">
        <f t="shared" si="16"/>
        <v>0</v>
      </c>
      <c r="I184" s="770"/>
      <c r="J184" s="770"/>
      <c r="K184" s="45">
        <f t="shared" si="14"/>
        <v>0</v>
      </c>
      <c r="L184" s="46">
        <f t="shared" si="15"/>
        <v>0</v>
      </c>
    </row>
    <row r="185" spans="1:12" ht="11.25" customHeight="1" x14ac:dyDescent="0.3">
      <c r="A185" s="55" t="s">
        <v>160</v>
      </c>
      <c r="B185" s="770"/>
      <c r="C185" s="770"/>
      <c r="D185" s="770"/>
      <c r="E185" s="770"/>
      <c r="F185" s="770"/>
      <c r="G185" s="770"/>
      <c r="H185" s="45">
        <f t="shared" si="16"/>
        <v>0</v>
      </c>
      <c r="I185" s="770"/>
      <c r="J185" s="770"/>
      <c r="K185" s="45">
        <f t="shared" si="14"/>
        <v>0</v>
      </c>
      <c r="L185" s="46">
        <f t="shared" si="15"/>
        <v>0</v>
      </c>
    </row>
    <row r="186" spans="1:12" ht="25.5" customHeight="1" x14ac:dyDescent="0.3">
      <c r="A186" s="54" t="s">
        <v>101</v>
      </c>
      <c r="B186" s="56"/>
      <c r="C186" s="57"/>
      <c r="D186" s="56"/>
      <c r="E186" s="57"/>
      <c r="F186" s="56"/>
      <c r="G186" s="57"/>
      <c r="H186" s="45">
        <f t="shared" si="16"/>
        <v>0</v>
      </c>
      <c r="I186" s="56"/>
      <c r="J186" s="57"/>
      <c r="K186" s="45">
        <f>IF(D186="",0,IF(D186=0,0,I186/D186))</f>
        <v>0</v>
      </c>
      <c r="L186" s="46">
        <f t="shared" si="15"/>
        <v>0</v>
      </c>
    </row>
    <row r="187" spans="1:12" ht="25.5" customHeight="1" x14ac:dyDescent="0.3">
      <c r="A187" s="54" t="s">
        <v>102</v>
      </c>
      <c r="B187" s="56"/>
      <c r="C187" s="57"/>
      <c r="D187" s="56"/>
      <c r="E187" s="57"/>
      <c r="F187" s="56"/>
      <c r="G187" s="57"/>
      <c r="H187" s="45">
        <f t="shared" si="16"/>
        <v>0</v>
      </c>
      <c r="I187" s="56"/>
      <c r="J187" s="57"/>
      <c r="K187" s="45">
        <f>IF(D187="",0,IF(D187=0,0,I187/D187))</f>
        <v>0</v>
      </c>
      <c r="L187" s="46">
        <f t="shared" si="15"/>
        <v>0</v>
      </c>
    </row>
    <row r="188" spans="1:12" ht="15" customHeight="1" x14ac:dyDescent="0.3">
      <c r="A188" s="118" t="s">
        <v>161</v>
      </c>
      <c r="B188" s="771"/>
      <c r="C188" s="771"/>
      <c r="D188" s="771"/>
      <c r="E188" s="771"/>
      <c r="F188" s="771"/>
      <c r="G188" s="771"/>
      <c r="H188" s="119">
        <f t="shared" si="16"/>
        <v>0</v>
      </c>
      <c r="I188" s="771"/>
      <c r="J188" s="771"/>
      <c r="K188" s="119">
        <f>IF($D188="",0,IF($D188=0,0,+I188/$D188))</f>
        <v>0</v>
      </c>
      <c r="L188" s="120">
        <f t="shared" si="15"/>
        <v>0</v>
      </c>
    </row>
    <row r="189" spans="1:12" ht="11.25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ht="11.25" customHeight="1" x14ac:dyDescent="0.3">
      <c r="A190" s="779" t="s">
        <v>162</v>
      </c>
      <c r="B190" s="775" t="s">
        <v>119</v>
      </c>
      <c r="C190" s="775" t="s">
        <v>120</v>
      </c>
      <c r="D190" s="777" t="s">
        <v>121</v>
      </c>
      <c r="E190" s="777"/>
      <c r="F190" s="774" t="s">
        <v>37</v>
      </c>
      <c r="G190" s="780" t="s">
        <v>122</v>
      </c>
      <c r="H190" s="780"/>
      <c r="I190" s="774" t="s">
        <v>37</v>
      </c>
      <c r="J190" s="775" t="s">
        <v>123</v>
      </c>
      <c r="K190" s="776" t="s">
        <v>163</v>
      </c>
      <c r="L190" s="776"/>
    </row>
    <row r="191" spans="1:12" ht="26.25" customHeight="1" x14ac:dyDescent="0.3">
      <c r="A191" s="779"/>
      <c r="B191" s="775"/>
      <c r="C191" s="775"/>
      <c r="D191" s="777" t="s">
        <v>38</v>
      </c>
      <c r="E191" s="121" t="s">
        <v>164</v>
      </c>
      <c r="F191" s="774"/>
      <c r="G191" s="777" t="s">
        <v>38</v>
      </c>
      <c r="H191" s="121" t="s">
        <v>164</v>
      </c>
      <c r="I191" s="774"/>
      <c r="J191" s="775"/>
      <c r="K191" s="776"/>
      <c r="L191" s="776"/>
    </row>
    <row r="192" spans="1:12" ht="15.75" customHeight="1" x14ac:dyDescent="0.3">
      <c r="A192" s="779"/>
      <c r="B192" s="122" t="s">
        <v>126</v>
      </c>
      <c r="C192" s="122" t="s">
        <v>127</v>
      </c>
      <c r="D192" s="777"/>
      <c r="E192" s="122" t="s">
        <v>128</v>
      </c>
      <c r="F192" s="123" t="s">
        <v>129</v>
      </c>
      <c r="G192" s="777"/>
      <c r="H192" s="80" t="s">
        <v>130</v>
      </c>
      <c r="I192" s="123" t="s">
        <v>131</v>
      </c>
      <c r="J192" s="80" t="s">
        <v>132</v>
      </c>
      <c r="K192" s="778" t="s">
        <v>133</v>
      </c>
      <c r="L192" s="778"/>
    </row>
    <row r="193" spans="1:12" ht="11.25" customHeight="1" x14ac:dyDescent="0.3">
      <c r="A193" s="96" t="s">
        <v>144</v>
      </c>
      <c r="B193" s="124">
        <f>+B194+B198</f>
        <v>0</v>
      </c>
      <c r="C193" s="124">
        <f>+C194+C198</f>
        <v>0</v>
      </c>
      <c r="D193" s="124">
        <f>+D194+D198</f>
        <v>0</v>
      </c>
      <c r="E193" s="124">
        <f>+E194+E198</f>
        <v>0</v>
      </c>
      <c r="F193" s="124">
        <f t="shared" ref="F193:F201" si="17">+C193-E193</f>
        <v>0</v>
      </c>
      <c r="G193" s="124">
        <f>+G194+G198</f>
        <v>0</v>
      </c>
      <c r="H193" s="124">
        <f>+H194+H198</f>
        <v>0</v>
      </c>
      <c r="I193" s="124">
        <f t="shared" ref="I193:I201" si="18">+C193-H193</f>
        <v>0</v>
      </c>
      <c r="J193" s="124">
        <f>+J194+J198</f>
        <v>0</v>
      </c>
      <c r="K193" s="772">
        <f>+K194+K198</f>
        <v>0</v>
      </c>
      <c r="L193" s="772"/>
    </row>
    <row r="194" spans="1:12" ht="11.25" customHeight="1" x14ac:dyDescent="0.3">
      <c r="A194" s="125" t="s">
        <v>135</v>
      </c>
      <c r="B194" s="43">
        <f>SUM(B195:B197)</f>
        <v>0</v>
      </c>
      <c r="C194" s="43">
        <f>SUM(C195:C197)</f>
        <v>0</v>
      </c>
      <c r="D194" s="43">
        <f>SUM(D195:D197)</f>
        <v>0</v>
      </c>
      <c r="E194" s="43">
        <f>SUM(E195:E197)</f>
        <v>0</v>
      </c>
      <c r="F194" s="43">
        <f t="shared" si="17"/>
        <v>0</v>
      </c>
      <c r="G194" s="43">
        <f>SUM(G195:G197)</f>
        <v>0</v>
      </c>
      <c r="H194" s="43">
        <f>SUM(H195:H197)</f>
        <v>0</v>
      </c>
      <c r="I194" s="43">
        <f t="shared" si="18"/>
        <v>0</v>
      </c>
      <c r="J194" s="43">
        <f>SUM(J195:J197)</f>
        <v>0</v>
      </c>
      <c r="K194" s="773">
        <f>SUM(K195:K197)</f>
        <v>0</v>
      </c>
      <c r="L194" s="773"/>
    </row>
    <row r="195" spans="1:12" ht="11.25" customHeight="1" x14ac:dyDescent="0.3">
      <c r="A195" s="18" t="s">
        <v>136</v>
      </c>
      <c r="B195" s="85"/>
      <c r="C195" s="85"/>
      <c r="D195" s="85"/>
      <c r="E195" s="85"/>
      <c r="F195" s="21">
        <f t="shared" si="17"/>
        <v>0</v>
      </c>
      <c r="G195" s="85"/>
      <c r="H195" s="126"/>
      <c r="I195" s="46">
        <f t="shared" si="18"/>
        <v>0</v>
      </c>
      <c r="J195" s="85"/>
      <c r="K195" s="770"/>
      <c r="L195" s="770"/>
    </row>
    <row r="196" spans="1:12" ht="11.25" customHeight="1" x14ac:dyDescent="0.3">
      <c r="A196" s="18" t="s">
        <v>137</v>
      </c>
      <c r="B196" s="85"/>
      <c r="C196" s="85"/>
      <c r="D196" s="85"/>
      <c r="E196" s="85"/>
      <c r="F196" s="21">
        <f t="shared" si="17"/>
        <v>0</v>
      </c>
      <c r="G196" s="85"/>
      <c r="H196" s="126"/>
      <c r="I196" s="46">
        <f t="shared" si="18"/>
        <v>0</v>
      </c>
      <c r="J196" s="85"/>
      <c r="K196" s="770"/>
      <c r="L196" s="770"/>
    </row>
    <row r="197" spans="1:12" ht="11.25" customHeight="1" x14ac:dyDescent="0.3">
      <c r="A197" s="18" t="s">
        <v>138</v>
      </c>
      <c r="B197" s="85"/>
      <c r="C197" s="85"/>
      <c r="D197" s="85"/>
      <c r="E197" s="85"/>
      <c r="F197" s="21">
        <f t="shared" si="17"/>
        <v>0</v>
      </c>
      <c r="G197" s="85"/>
      <c r="H197" s="126"/>
      <c r="I197" s="46">
        <f t="shared" si="18"/>
        <v>0</v>
      </c>
      <c r="J197" s="85"/>
      <c r="K197" s="770"/>
      <c r="L197" s="770"/>
    </row>
    <row r="198" spans="1:12" ht="11.25" customHeight="1" x14ac:dyDescent="0.3">
      <c r="A198" s="125" t="s">
        <v>139</v>
      </c>
      <c r="B198" s="43">
        <f>SUM(B199:B201)</f>
        <v>0</v>
      </c>
      <c r="C198" s="43">
        <f>SUM(C199:C201)</f>
        <v>0</v>
      </c>
      <c r="D198" s="43">
        <f>SUM(D199:D201)</f>
        <v>0</v>
      </c>
      <c r="E198" s="43">
        <f>SUM(E199:E201)</f>
        <v>0</v>
      </c>
      <c r="F198" s="43">
        <f t="shared" si="17"/>
        <v>0</v>
      </c>
      <c r="G198" s="43">
        <f>SUM(G199:G201)</f>
        <v>0</v>
      </c>
      <c r="H198" s="43">
        <f>SUM(H199:H201)</f>
        <v>0</v>
      </c>
      <c r="I198" s="43">
        <f t="shared" si="18"/>
        <v>0</v>
      </c>
      <c r="J198" s="43">
        <f>SUM(J199:J201)</f>
        <v>0</v>
      </c>
      <c r="K198" s="773">
        <f>SUM(K199:K201)</f>
        <v>0</v>
      </c>
      <c r="L198" s="773"/>
    </row>
    <row r="199" spans="1:12" ht="11.25" customHeight="1" x14ac:dyDescent="0.3">
      <c r="A199" s="127" t="s">
        <v>140</v>
      </c>
      <c r="B199" s="126"/>
      <c r="C199" s="85"/>
      <c r="D199" s="126"/>
      <c r="E199" s="85"/>
      <c r="F199" s="21">
        <f t="shared" si="17"/>
        <v>0</v>
      </c>
      <c r="G199" s="85"/>
      <c r="H199" s="126"/>
      <c r="I199" s="46">
        <f t="shared" si="18"/>
        <v>0</v>
      </c>
      <c r="J199" s="85"/>
      <c r="K199" s="770"/>
      <c r="L199" s="770"/>
    </row>
    <row r="200" spans="1:12" ht="11.25" customHeight="1" x14ac:dyDescent="0.3">
      <c r="A200" s="127" t="s">
        <v>141</v>
      </c>
      <c r="B200" s="126"/>
      <c r="C200" s="85"/>
      <c r="D200" s="126"/>
      <c r="E200" s="85"/>
      <c r="F200" s="21">
        <f t="shared" si="17"/>
        <v>0</v>
      </c>
      <c r="G200" s="85"/>
      <c r="H200" s="126"/>
      <c r="I200" s="46">
        <f t="shared" si="18"/>
        <v>0</v>
      </c>
      <c r="J200" s="85"/>
      <c r="K200" s="770"/>
      <c r="L200" s="770"/>
    </row>
    <row r="201" spans="1:12" ht="11.25" customHeight="1" x14ac:dyDescent="0.3">
      <c r="A201" s="128" t="s">
        <v>142</v>
      </c>
      <c r="B201" s="129"/>
      <c r="C201" s="130"/>
      <c r="D201" s="129"/>
      <c r="E201" s="130"/>
      <c r="F201" s="120">
        <f t="shared" si="17"/>
        <v>0</v>
      </c>
      <c r="G201" s="130"/>
      <c r="H201" s="129"/>
      <c r="I201" s="120">
        <f t="shared" si="18"/>
        <v>0</v>
      </c>
      <c r="J201" s="130"/>
      <c r="K201" s="771"/>
      <c r="L201" s="771"/>
    </row>
  </sheetData>
  <sheetProtection password="F3F6" sheet="1"/>
  <mergeCells count="633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5:C75"/>
    <mergeCell ref="D75:E75"/>
    <mergeCell ref="F75:G75"/>
    <mergeCell ref="I75:J75"/>
    <mergeCell ref="B76:C76"/>
    <mergeCell ref="D76:E76"/>
    <mergeCell ref="F76:G76"/>
    <mergeCell ref="I76:J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3:B95"/>
    <mergeCell ref="C93:C95"/>
    <mergeCell ref="D93:E93"/>
    <mergeCell ref="G93:H93"/>
    <mergeCell ref="I93:I95"/>
    <mergeCell ref="J93:J95"/>
    <mergeCell ref="K93:L95"/>
    <mergeCell ref="D94:D96"/>
    <mergeCell ref="E94:E95"/>
    <mergeCell ref="G94:G96"/>
    <mergeCell ref="H94:H95"/>
    <mergeCell ref="K96:L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A120:K120"/>
    <mergeCell ref="A121:C121"/>
    <mergeCell ref="B123:C124"/>
    <mergeCell ref="D123:E124"/>
    <mergeCell ref="F123:K123"/>
    <mergeCell ref="F124:G124"/>
    <mergeCell ref="I124:J124"/>
    <mergeCell ref="D125:E125"/>
    <mergeCell ref="F125:G125"/>
    <mergeCell ref="I125:J125"/>
    <mergeCell ref="B126:C126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8:C188"/>
    <mergeCell ref="D188:E188"/>
    <mergeCell ref="F188:G188"/>
    <mergeCell ref="I188:J188"/>
    <mergeCell ref="A190:A192"/>
    <mergeCell ref="B190:B191"/>
    <mergeCell ref="C190:C191"/>
    <mergeCell ref="D190:E190"/>
    <mergeCell ref="F190:F191"/>
    <mergeCell ref="G190:H190"/>
    <mergeCell ref="I190:I191"/>
    <mergeCell ref="J190:J191"/>
    <mergeCell ref="K190:L191"/>
    <mergeCell ref="D191:D192"/>
    <mergeCell ref="G191:G192"/>
    <mergeCell ref="K192:L192"/>
    <mergeCell ref="K199:L199"/>
    <mergeCell ref="K200:L200"/>
    <mergeCell ref="K201:L201"/>
    <mergeCell ref="K193:L193"/>
    <mergeCell ref="K194:L194"/>
    <mergeCell ref="K195:L195"/>
    <mergeCell ref="K196:L196"/>
    <mergeCell ref="K197:L197"/>
    <mergeCell ref="K198:L198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2" max="16383" man="1"/>
    <brk id="122" max="16383" man="1"/>
    <brk id="1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56" zoomScale="80" zoomScaleNormal="80" workbookViewId="0">
      <selection activeCell="C89" sqref="C89"/>
    </sheetView>
  </sheetViews>
  <sheetFormatPr defaultColWidth="7.81640625" defaultRowHeight="12.75" customHeight="1" x14ac:dyDescent="0.3"/>
  <cols>
    <col min="1" max="1" width="46.7265625" style="131" customWidth="1"/>
    <col min="2" max="5" width="17.81640625" style="131" customWidth="1"/>
    <col min="6" max="6" width="9.7265625" style="131" customWidth="1"/>
    <col min="7" max="7" width="18.1796875" style="131" customWidth="1"/>
    <col min="8" max="9" width="17.81640625" style="131" customWidth="1"/>
    <col min="10" max="10" width="9.7265625" style="131" customWidth="1"/>
    <col min="11" max="11" width="18.1796875" style="131" customWidth="1"/>
    <col min="12" max="12" width="17.81640625" style="131" customWidth="1"/>
    <col min="13" max="13" width="14.26953125" style="131" customWidth="1"/>
    <col min="14" max="14" width="5.7265625" style="132" customWidth="1"/>
    <col min="15" max="16" width="15.453125" style="132" customWidth="1"/>
    <col min="17" max="17" width="22" style="132" customWidth="1"/>
    <col min="18" max="18" width="13.453125" style="132" customWidth="1"/>
    <col min="19" max="16384" width="7.81640625" style="132"/>
  </cols>
  <sheetData>
    <row r="1" spans="1:13" ht="15.75" customHeight="1" x14ac:dyDescent="0.3">
      <c r="A1" s="133" t="s">
        <v>165</v>
      </c>
    </row>
    <row r="2" spans="1:13" ht="11.25" customHeight="1" x14ac:dyDescent="0.3">
      <c r="A2" s="28"/>
    </row>
    <row r="3" spans="1:13" ht="12.75" customHeight="1" x14ac:dyDescent="0.3">
      <c r="A3" s="801" t="str">
        <f>+'Informações Iniciais'!A1</f>
        <v>ESTADO DO MARANHÃO - PREFEITURA MUNICIPAL DE DAVINOPOLIS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16"/>
    </row>
    <row r="4" spans="1:13" ht="12.75" customHeight="1" x14ac:dyDescent="0.3">
      <c r="A4" s="802" t="s">
        <v>1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134"/>
    </row>
    <row r="5" spans="1:13" ht="12.75" customHeight="1" x14ac:dyDescent="0.3">
      <c r="A5" s="803" t="s">
        <v>166</v>
      </c>
      <c r="B5" s="803"/>
      <c r="C5" s="803"/>
      <c r="D5" s="803"/>
      <c r="E5" s="803"/>
      <c r="F5" s="803"/>
      <c r="G5" s="803"/>
      <c r="H5" s="803"/>
      <c r="I5" s="803"/>
      <c r="J5" s="803"/>
      <c r="K5" s="803"/>
      <c r="L5" s="803"/>
      <c r="M5" s="135"/>
    </row>
    <row r="6" spans="1:13" ht="12.75" customHeight="1" x14ac:dyDescent="0.3">
      <c r="A6" s="804" t="s">
        <v>30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136"/>
    </row>
    <row r="7" spans="1:13" ht="12.75" customHeight="1" x14ac:dyDescent="0.3">
      <c r="A7" s="801" t="str">
        <f>+'Informações Iniciais'!A5</f>
        <v>2º Bimestre de 2017</v>
      </c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16"/>
    </row>
    <row r="8" spans="1:13" ht="12.75" customHeight="1" x14ac:dyDescent="0.3">
      <c r="A8" s="814"/>
      <c r="B8" s="814"/>
      <c r="C8" s="814"/>
      <c r="D8" s="814"/>
      <c r="E8" s="814"/>
      <c r="F8" s="814"/>
      <c r="G8" s="814"/>
      <c r="H8" s="814"/>
      <c r="I8" s="814"/>
      <c r="J8" s="814"/>
      <c r="K8" s="814"/>
      <c r="L8" s="814"/>
      <c r="M8" s="132"/>
    </row>
    <row r="9" spans="1:13" ht="12.75" customHeight="1" x14ac:dyDescent="0.3">
      <c r="A9" s="134" t="s">
        <v>167</v>
      </c>
      <c r="B9" s="137"/>
      <c r="C9" s="132"/>
      <c r="D9" s="132"/>
      <c r="E9" s="138"/>
      <c r="F9" s="138"/>
      <c r="G9" s="138"/>
      <c r="H9" s="138"/>
      <c r="I9" s="132"/>
      <c r="J9" s="132"/>
      <c r="K9" s="132"/>
      <c r="L9" s="139" t="s">
        <v>32</v>
      </c>
    </row>
    <row r="10" spans="1:13" ht="18" customHeight="1" x14ac:dyDescent="0.3">
      <c r="A10" s="810" t="s">
        <v>168</v>
      </c>
      <c r="B10" s="140" t="s">
        <v>169</v>
      </c>
      <c r="C10" s="140" t="s">
        <v>169</v>
      </c>
      <c r="D10" s="811" t="s">
        <v>121</v>
      </c>
      <c r="E10" s="811"/>
      <c r="F10" s="811"/>
      <c r="G10" s="774" t="s">
        <v>37</v>
      </c>
      <c r="H10" s="812" t="s">
        <v>122</v>
      </c>
      <c r="I10" s="812"/>
      <c r="J10" s="812"/>
      <c r="K10" s="774" t="s">
        <v>37</v>
      </c>
      <c r="L10" s="813" t="s">
        <v>170</v>
      </c>
      <c r="M10" s="132"/>
    </row>
    <row r="11" spans="1:13" ht="12.75" customHeight="1" x14ac:dyDescent="0.3">
      <c r="A11" s="810"/>
      <c r="B11" s="141" t="s">
        <v>171</v>
      </c>
      <c r="C11" s="141" t="s">
        <v>172</v>
      </c>
      <c r="D11" s="811" t="s">
        <v>38</v>
      </c>
      <c r="E11" s="140" t="s">
        <v>40</v>
      </c>
      <c r="F11" s="140" t="s">
        <v>39</v>
      </c>
      <c r="G11" s="774"/>
      <c r="H11" s="811" t="s">
        <v>38</v>
      </c>
      <c r="I11" s="140" t="s">
        <v>40</v>
      </c>
      <c r="J11" s="140" t="s">
        <v>39</v>
      </c>
      <c r="K11" s="774"/>
      <c r="L11" s="813"/>
      <c r="M11" s="132"/>
    </row>
    <row r="12" spans="1:13" s="145" customFormat="1" ht="24" customHeight="1" x14ac:dyDescent="0.3">
      <c r="A12" s="810"/>
      <c r="B12" s="142"/>
      <c r="C12" s="143" t="s">
        <v>41</v>
      </c>
      <c r="D12" s="811"/>
      <c r="E12" s="143" t="s">
        <v>42</v>
      </c>
      <c r="F12" s="143" t="s">
        <v>173</v>
      </c>
      <c r="G12" s="144" t="s">
        <v>174</v>
      </c>
      <c r="H12" s="811"/>
      <c r="I12" s="143" t="s">
        <v>126</v>
      </c>
      <c r="J12" s="143" t="s">
        <v>175</v>
      </c>
      <c r="K12" s="144" t="s">
        <v>176</v>
      </c>
      <c r="L12" s="813"/>
    </row>
    <row r="13" spans="1:13" s="145" customFormat="1" ht="12.75" customHeight="1" x14ac:dyDescent="0.3">
      <c r="A13" s="146" t="s">
        <v>177</v>
      </c>
      <c r="B13" s="147">
        <f>+B14+B18+B22+B26+B39+B44+B49+B53+B59+B65+B73+B79+B89+B93+B98+B103+B107+B111+B118+B123+B130+B133+B140+B147+B151+B157+B164+B169+B178+B179</f>
        <v>36977489.439999998</v>
      </c>
      <c r="C13" s="147">
        <f>+C14+C18+C22+C26+C39+C44+C49+C53+C59+C65+C73+C79+C89+C93+C98+C103+C107+C111+C118+C123+C130+C133+C140+C147+C151+C157+C164+C169+C178+C179</f>
        <v>38372530.899999999</v>
      </c>
      <c r="D13" s="147">
        <f>+D14+D18+D22+D26+D39+D44+D49+D53+D59+D65+D73+D79+D89+D93+D98+D103+D107+D111+D118+D123+D130+D133+D140+D147+D151+D157+D164+D169+D178+D179</f>
        <v>4060145.6500000004</v>
      </c>
      <c r="E13" s="147">
        <f>+E14+E18+E22+E26+E39+E44+E49+E53+E59+E65+E73+E79+E89+E93+E98+E103+E107+E111+E118+E123+E130+E133+E140+E147+E151+E157+E164+E169+E178+E179</f>
        <v>9026205.0199999996</v>
      </c>
      <c r="F13" s="147">
        <f t="shared" ref="F13:F86" si="0">IF(E$181="",0,IF(E$181=0,0,E13/E$181))</f>
        <v>1</v>
      </c>
      <c r="G13" s="147">
        <f t="shared" ref="G13:G86" si="1">+C13-E13</f>
        <v>29346325.879999999</v>
      </c>
      <c r="H13" s="147">
        <f>+H14+H18+H22+H26+H39+H44+H49+H53+H59+H65+H73+H79+H89+H93+H98+H103+H107+H111+H118+H123+H130+H133+H140+H147+H151+H157+H164+H169+H178+H179</f>
        <v>3741861.81</v>
      </c>
      <c r="I13" s="147">
        <f>+I14+I18+I22+I26+I39+I44+I49+I53+I59+I65+I73+I79+I89+I93+I98+I103+I107+I111+I118+I123+I130+I133+I140+I147+I151+I157+I164+I169+I178+I179</f>
        <v>6714388.2699999996</v>
      </c>
      <c r="J13" s="147">
        <f>IF(I181="",0,IF(I181=0,0,I13/I$181))</f>
        <v>1</v>
      </c>
      <c r="K13" s="147">
        <f t="shared" ref="K13:K86" si="2">+C13-I13</f>
        <v>31658142.629999999</v>
      </c>
      <c r="L13" s="147">
        <f>+L14+L18+L22+L26+L39+L44+L49+L53+L59+L65+L73+L79+L89+L93+L98+L103+L107+L111+L118+L123+L130+L133+L140+L147+L151+L157+L164+L169+L178+L179</f>
        <v>0</v>
      </c>
    </row>
    <row r="14" spans="1:13" s="145" customFormat="1" ht="12.75" customHeight="1" x14ac:dyDescent="0.3">
      <c r="A14" s="148" t="s">
        <v>178</v>
      </c>
      <c r="B14" s="43">
        <f>SUM(B15:B17)</f>
        <v>1134837.25</v>
      </c>
      <c r="C14" s="43">
        <f>SUM(C15:C17)</f>
        <v>1134837.25</v>
      </c>
      <c r="D14" s="43">
        <f>SUM(D15:D17)</f>
        <v>0</v>
      </c>
      <c r="E14" s="43">
        <f>SUM(E15:E17)</f>
        <v>0</v>
      </c>
      <c r="F14" s="43">
        <f t="shared" si="0"/>
        <v>0</v>
      </c>
      <c r="G14" s="43">
        <f t="shared" si="1"/>
        <v>1134837.25</v>
      </c>
      <c r="H14" s="43">
        <f>SUM(H15:H17)</f>
        <v>0</v>
      </c>
      <c r="I14" s="43">
        <f>SUM(I15:I17)</f>
        <v>0</v>
      </c>
      <c r="J14" s="43">
        <f t="shared" ref="J14:J86" si="3">IF(I180="",0,IF(I180=0,0,I14/I$181))</f>
        <v>0</v>
      </c>
      <c r="K14" s="43">
        <f t="shared" si="2"/>
        <v>1134837.25</v>
      </c>
      <c r="L14" s="43">
        <f>SUM(L15:L17)</f>
        <v>0</v>
      </c>
    </row>
    <row r="15" spans="1:13" ht="12.75" customHeight="1" x14ac:dyDescent="0.3">
      <c r="A15" s="149" t="s">
        <v>179</v>
      </c>
      <c r="B15" s="150">
        <v>1134837.25</v>
      </c>
      <c r="C15" s="85">
        <v>1134837.25</v>
      </c>
      <c r="D15" s="85">
        <v>0</v>
      </c>
      <c r="E15" s="85">
        <v>0</v>
      </c>
      <c r="F15" s="46">
        <f t="shared" si="0"/>
        <v>0</v>
      </c>
      <c r="G15" s="46">
        <f t="shared" si="1"/>
        <v>1134837.25</v>
      </c>
      <c r="H15" s="85">
        <v>0</v>
      </c>
      <c r="I15" s="85">
        <v>0</v>
      </c>
      <c r="J15" s="151">
        <f t="shared" si="3"/>
        <v>0</v>
      </c>
      <c r="K15" s="151">
        <f t="shared" si="2"/>
        <v>1134837.25</v>
      </c>
      <c r="L15" s="85">
        <v>0</v>
      </c>
      <c r="M15" s="132"/>
    </row>
    <row r="16" spans="1:13" ht="12.75" customHeight="1" x14ac:dyDescent="0.3">
      <c r="A16" s="149" t="s">
        <v>180</v>
      </c>
      <c r="B16" s="150"/>
      <c r="C16" s="85"/>
      <c r="D16" s="85"/>
      <c r="E16" s="85"/>
      <c r="F16" s="46">
        <f t="shared" si="0"/>
        <v>0</v>
      </c>
      <c r="G16" s="46">
        <f t="shared" si="1"/>
        <v>0</v>
      </c>
      <c r="H16" s="85"/>
      <c r="I16" s="85"/>
      <c r="J16" s="151">
        <f t="shared" si="3"/>
        <v>0</v>
      </c>
      <c r="K16" s="151">
        <f t="shared" si="2"/>
        <v>0</v>
      </c>
      <c r="L16" s="85"/>
      <c r="M16" s="132"/>
    </row>
    <row r="17" spans="1:15" ht="12.75" customHeight="1" x14ac:dyDescent="0.3">
      <c r="A17" s="149" t="s">
        <v>181</v>
      </c>
      <c r="B17" s="150"/>
      <c r="C17" s="85"/>
      <c r="D17" s="85"/>
      <c r="E17" s="85"/>
      <c r="F17" s="46">
        <f t="shared" si="0"/>
        <v>0</v>
      </c>
      <c r="G17" s="46">
        <f t="shared" si="1"/>
        <v>0</v>
      </c>
      <c r="H17" s="85"/>
      <c r="I17" s="85"/>
      <c r="J17" s="46">
        <f t="shared" si="3"/>
        <v>0</v>
      </c>
      <c r="K17" s="151">
        <f t="shared" si="2"/>
        <v>0</v>
      </c>
      <c r="L17" s="85"/>
      <c r="M17" s="137"/>
    </row>
    <row r="18" spans="1:15" ht="12.75" customHeight="1" x14ac:dyDescent="0.3">
      <c r="A18" s="148" t="s">
        <v>182</v>
      </c>
      <c r="B18" s="43">
        <f>SUM(B19:B21)</f>
        <v>0</v>
      </c>
      <c r="C18" s="43">
        <f>SUM(C19:C21)</f>
        <v>0</v>
      </c>
      <c r="D18" s="43">
        <f>SUM(D19:D21)</f>
        <v>0</v>
      </c>
      <c r="E18" s="43">
        <f>SUM(E19:E21)</f>
        <v>0</v>
      </c>
      <c r="F18" s="43">
        <f t="shared" si="0"/>
        <v>0</v>
      </c>
      <c r="G18" s="43">
        <f t="shared" si="1"/>
        <v>0</v>
      </c>
      <c r="H18" s="43">
        <f>SUM(H19:H21)</f>
        <v>0</v>
      </c>
      <c r="I18" s="43">
        <f>SUM(I19:I21)</f>
        <v>0</v>
      </c>
      <c r="J18" s="43">
        <f t="shared" si="3"/>
        <v>0</v>
      </c>
      <c r="K18" s="43">
        <f t="shared" si="2"/>
        <v>0</v>
      </c>
      <c r="L18" s="43">
        <f>SUM(L19:L21)</f>
        <v>0</v>
      </c>
      <c r="M18" s="137"/>
      <c r="O18" s="809"/>
    </row>
    <row r="19" spans="1:15" ht="12.75" customHeight="1" x14ac:dyDescent="0.3">
      <c r="A19" s="149" t="s">
        <v>183</v>
      </c>
      <c r="B19" s="85"/>
      <c r="C19" s="85"/>
      <c r="D19" s="85"/>
      <c r="E19" s="85"/>
      <c r="F19" s="46">
        <f t="shared" si="0"/>
        <v>0</v>
      </c>
      <c r="G19" s="46">
        <f t="shared" si="1"/>
        <v>0</v>
      </c>
      <c r="H19" s="85"/>
      <c r="I19" s="85"/>
      <c r="J19" s="46">
        <f t="shared" si="3"/>
        <v>0</v>
      </c>
      <c r="K19" s="151">
        <f t="shared" si="2"/>
        <v>0</v>
      </c>
      <c r="L19" s="85"/>
      <c r="M19" s="137"/>
      <c r="O19" s="809"/>
    </row>
    <row r="20" spans="1:15" ht="12.75" customHeight="1" x14ac:dyDescent="0.3">
      <c r="A20" s="149" t="s">
        <v>184</v>
      </c>
      <c r="B20" s="85"/>
      <c r="C20" s="85"/>
      <c r="D20" s="85"/>
      <c r="E20" s="85"/>
      <c r="F20" s="46">
        <f t="shared" si="0"/>
        <v>0</v>
      </c>
      <c r="G20" s="46">
        <f t="shared" si="1"/>
        <v>0</v>
      </c>
      <c r="H20" s="85"/>
      <c r="I20" s="85"/>
      <c r="J20" s="46">
        <f t="shared" si="3"/>
        <v>0</v>
      </c>
      <c r="K20" s="151">
        <f t="shared" si="2"/>
        <v>0</v>
      </c>
      <c r="L20" s="85"/>
      <c r="M20" s="137"/>
      <c r="O20" s="809"/>
    </row>
    <row r="21" spans="1:15" ht="12.75" customHeight="1" x14ac:dyDescent="0.3">
      <c r="A21" s="149" t="s">
        <v>181</v>
      </c>
      <c r="B21" s="85"/>
      <c r="C21" s="85"/>
      <c r="D21" s="85"/>
      <c r="E21" s="85"/>
      <c r="F21" s="46">
        <f t="shared" si="0"/>
        <v>0</v>
      </c>
      <c r="G21" s="46">
        <f t="shared" si="1"/>
        <v>0</v>
      </c>
      <c r="H21" s="85"/>
      <c r="I21" s="85"/>
      <c r="J21" s="46">
        <f t="shared" si="3"/>
        <v>0</v>
      </c>
      <c r="K21" s="151">
        <f t="shared" si="2"/>
        <v>0</v>
      </c>
      <c r="L21" s="85"/>
      <c r="M21" s="137"/>
    </row>
    <row r="22" spans="1:15" ht="12.75" customHeight="1" x14ac:dyDescent="0.3">
      <c r="A22" s="148" t="s">
        <v>185</v>
      </c>
      <c r="B22" s="43">
        <f>SUM(B23:B25)</f>
        <v>200491</v>
      </c>
      <c r="C22" s="43">
        <f>SUM(C23:C25)</f>
        <v>200491</v>
      </c>
      <c r="D22" s="43">
        <f>SUM(D23:D25)</f>
        <v>0</v>
      </c>
      <c r="E22" s="43">
        <f>SUM(E23:E25)</f>
        <v>0</v>
      </c>
      <c r="F22" s="43">
        <f t="shared" si="0"/>
        <v>0</v>
      </c>
      <c r="G22" s="43">
        <f t="shared" si="1"/>
        <v>200491</v>
      </c>
      <c r="H22" s="43">
        <f>SUM(H23:H25)</f>
        <v>0</v>
      </c>
      <c r="I22" s="43">
        <f>SUM(I23:I25)</f>
        <v>0</v>
      </c>
      <c r="J22" s="43">
        <f t="shared" si="3"/>
        <v>0</v>
      </c>
      <c r="K22" s="43">
        <f t="shared" si="2"/>
        <v>200491</v>
      </c>
      <c r="L22" s="43">
        <f>SUM(L23:L25)</f>
        <v>0</v>
      </c>
      <c r="M22" s="137"/>
    </row>
    <row r="23" spans="1:15" ht="12.75" customHeight="1" x14ac:dyDescent="0.3">
      <c r="A23" s="149" t="s">
        <v>186</v>
      </c>
      <c r="B23" s="85"/>
      <c r="C23" s="85"/>
      <c r="D23" s="85"/>
      <c r="E23" s="85"/>
      <c r="F23" s="46">
        <f t="shared" si="0"/>
        <v>0</v>
      </c>
      <c r="G23" s="46">
        <f t="shared" si="1"/>
        <v>0</v>
      </c>
      <c r="H23" s="85"/>
      <c r="I23" s="85"/>
      <c r="J23" s="46">
        <f t="shared" si="3"/>
        <v>0</v>
      </c>
      <c r="K23" s="151">
        <f t="shared" si="2"/>
        <v>0</v>
      </c>
      <c r="L23" s="85"/>
      <c r="M23" s="137"/>
    </row>
    <row r="24" spans="1:15" ht="12.75" customHeight="1" x14ac:dyDescent="0.3">
      <c r="A24" s="149" t="s">
        <v>187</v>
      </c>
      <c r="B24" s="85">
        <v>180653.5</v>
      </c>
      <c r="C24" s="85">
        <v>180653.5</v>
      </c>
      <c r="D24" s="85"/>
      <c r="E24" s="85"/>
      <c r="F24" s="46">
        <f t="shared" si="0"/>
        <v>0</v>
      </c>
      <c r="G24" s="46">
        <f t="shared" si="1"/>
        <v>180653.5</v>
      </c>
      <c r="H24" s="85"/>
      <c r="I24" s="85"/>
      <c r="J24" s="46">
        <f t="shared" si="3"/>
        <v>0</v>
      </c>
      <c r="K24" s="151">
        <f t="shared" si="2"/>
        <v>180653.5</v>
      </c>
      <c r="L24" s="85"/>
      <c r="M24" s="137"/>
    </row>
    <row r="25" spans="1:15" ht="12.75" customHeight="1" x14ac:dyDescent="0.3">
      <c r="A25" s="149" t="s">
        <v>181</v>
      </c>
      <c r="B25" s="85">
        <v>19837.5</v>
      </c>
      <c r="C25" s="85">
        <v>19837.5</v>
      </c>
      <c r="D25" s="85"/>
      <c r="E25" s="85"/>
      <c r="F25" s="46">
        <f t="shared" si="0"/>
        <v>0</v>
      </c>
      <c r="G25" s="46">
        <f t="shared" si="1"/>
        <v>19837.5</v>
      </c>
      <c r="H25" s="85"/>
      <c r="I25" s="85"/>
      <c r="J25" s="46">
        <f t="shared" si="3"/>
        <v>0</v>
      </c>
      <c r="K25" s="151">
        <f t="shared" si="2"/>
        <v>19837.5</v>
      </c>
      <c r="L25" s="85"/>
      <c r="M25" s="137"/>
    </row>
    <row r="26" spans="1:15" ht="12.75" customHeight="1" x14ac:dyDescent="0.3">
      <c r="A26" s="148" t="s">
        <v>188</v>
      </c>
      <c r="B26" s="43">
        <f>SUM(B27:B38)</f>
        <v>3525655.5</v>
      </c>
      <c r="C26" s="43">
        <f>SUM(C27:C38)</f>
        <v>3959634.8</v>
      </c>
      <c r="D26" s="43">
        <f>SUM(D27:D38)</f>
        <v>455871.38</v>
      </c>
      <c r="E26" s="43">
        <f>SUM(E27:E38)</f>
        <v>983120.5</v>
      </c>
      <c r="F26" s="43">
        <f t="shared" si="0"/>
        <v>0.10891847657145284</v>
      </c>
      <c r="G26" s="43">
        <f t="shared" si="1"/>
        <v>2976514.3</v>
      </c>
      <c r="H26" s="43">
        <f>SUM(H27:H38)</f>
        <v>338188.88</v>
      </c>
      <c r="I26" s="43">
        <f>SUM(I27:I38)</f>
        <v>677146.4</v>
      </c>
      <c r="J26" s="43">
        <f t="shared" si="3"/>
        <v>0</v>
      </c>
      <c r="K26" s="43">
        <f t="shared" si="2"/>
        <v>3282488.4</v>
      </c>
      <c r="L26" s="43">
        <f>SUM(L27:L38)</f>
        <v>0</v>
      </c>
      <c r="M26" s="137"/>
    </row>
    <row r="27" spans="1:15" ht="12.75" customHeight="1" x14ac:dyDescent="0.3">
      <c r="A27" s="149" t="s">
        <v>189</v>
      </c>
      <c r="B27" s="85"/>
      <c r="C27" s="85"/>
      <c r="D27" s="85"/>
      <c r="E27" s="85"/>
      <c r="F27" s="46">
        <f t="shared" si="0"/>
        <v>0</v>
      </c>
      <c r="G27" s="46">
        <f t="shared" si="1"/>
        <v>0</v>
      </c>
      <c r="H27" s="85"/>
      <c r="I27" s="85"/>
      <c r="J27" s="46">
        <f t="shared" si="3"/>
        <v>0</v>
      </c>
      <c r="K27" s="151">
        <f t="shared" si="2"/>
        <v>0</v>
      </c>
      <c r="L27" s="85"/>
      <c r="M27" s="137"/>
    </row>
    <row r="28" spans="1:15" ht="12.75" customHeight="1" x14ac:dyDescent="0.3">
      <c r="A28" s="149" t="s">
        <v>190</v>
      </c>
      <c r="B28" s="85">
        <v>2638367.75</v>
      </c>
      <c r="C28" s="85">
        <v>2677152.91</v>
      </c>
      <c r="D28" s="85">
        <v>100924.77</v>
      </c>
      <c r="E28" s="85">
        <v>255578.41</v>
      </c>
      <c r="F28" s="46">
        <f t="shared" si="0"/>
        <v>2.8315156750117781E-2</v>
      </c>
      <c r="G28" s="46">
        <f t="shared" si="1"/>
        <v>2421574.5</v>
      </c>
      <c r="H28" s="85">
        <v>107324.77</v>
      </c>
      <c r="I28" s="85">
        <v>226778.41</v>
      </c>
      <c r="J28" s="46">
        <f t="shared" si="3"/>
        <v>0</v>
      </c>
      <c r="K28" s="151">
        <f t="shared" si="2"/>
        <v>2450374.5</v>
      </c>
      <c r="L28" s="85"/>
      <c r="M28" s="137"/>
    </row>
    <row r="29" spans="1:15" ht="12.75" customHeight="1" x14ac:dyDescent="0.3">
      <c r="A29" s="149" t="s">
        <v>191</v>
      </c>
      <c r="B29" s="85"/>
      <c r="C29" s="85"/>
      <c r="D29" s="85"/>
      <c r="E29" s="85"/>
      <c r="F29" s="46">
        <f t="shared" si="0"/>
        <v>0</v>
      </c>
      <c r="G29" s="46">
        <f t="shared" si="1"/>
        <v>0</v>
      </c>
      <c r="H29" s="85"/>
      <c r="I29" s="85"/>
      <c r="J29" s="46">
        <f t="shared" si="3"/>
        <v>0</v>
      </c>
      <c r="K29" s="151">
        <f t="shared" si="2"/>
        <v>0</v>
      </c>
      <c r="L29" s="85"/>
      <c r="M29" s="137"/>
    </row>
    <row r="30" spans="1:15" ht="12.75" customHeight="1" x14ac:dyDescent="0.3">
      <c r="A30" s="149" t="s">
        <v>192</v>
      </c>
      <c r="B30" s="85">
        <v>692980.5</v>
      </c>
      <c r="C30" s="85">
        <v>1088174.6399999999</v>
      </c>
      <c r="D30" s="85">
        <v>354946.61</v>
      </c>
      <c r="E30" s="85">
        <v>727542.09</v>
      </c>
      <c r="F30" s="46">
        <f t="shared" si="0"/>
        <v>8.0603319821335062E-2</v>
      </c>
      <c r="G30" s="46">
        <f t="shared" si="1"/>
        <v>360632.54999999993</v>
      </c>
      <c r="H30" s="85">
        <v>230864.11</v>
      </c>
      <c r="I30" s="85">
        <v>450367.99</v>
      </c>
      <c r="J30" s="46">
        <f t="shared" si="3"/>
        <v>0</v>
      </c>
      <c r="K30" s="151">
        <f t="shared" si="2"/>
        <v>637806.64999999991</v>
      </c>
      <c r="L30" s="85"/>
      <c r="M30" s="137"/>
    </row>
    <row r="31" spans="1:15" ht="12.75" customHeight="1" x14ac:dyDescent="0.3">
      <c r="A31" s="149" t="s">
        <v>193</v>
      </c>
      <c r="B31" s="85"/>
      <c r="C31" s="85"/>
      <c r="D31" s="85"/>
      <c r="E31" s="85"/>
      <c r="F31" s="46">
        <f t="shared" si="0"/>
        <v>0</v>
      </c>
      <c r="G31" s="46">
        <f t="shared" si="1"/>
        <v>0</v>
      </c>
      <c r="H31" s="85"/>
      <c r="I31" s="85"/>
      <c r="J31" s="46">
        <f t="shared" si="3"/>
        <v>0</v>
      </c>
      <c r="K31" s="151">
        <f t="shared" si="2"/>
        <v>0</v>
      </c>
      <c r="L31" s="85"/>
      <c r="M31" s="137"/>
    </row>
    <row r="32" spans="1:15" ht="12.75" customHeight="1" x14ac:dyDescent="0.3">
      <c r="A32" s="149" t="s">
        <v>194</v>
      </c>
      <c r="B32" s="85"/>
      <c r="C32" s="85"/>
      <c r="D32" s="85"/>
      <c r="E32" s="85"/>
      <c r="F32" s="46">
        <f t="shared" si="0"/>
        <v>0</v>
      </c>
      <c r="G32" s="46">
        <f t="shared" si="1"/>
        <v>0</v>
      </c>
      <c r="H32" s="85"/>
      <c r="I32" s="85"/>
      <c r="J32" s="46">
        <f t="shared" si="3"/>
        <v>0</v>
      </c>
      <c r="K32" s="151">
        <f t="shared" si="2"/>
        <v>0</v>
      </c>
      <c r="L32" s="85"/>
      <c r="M32" s="137"/>
    </row>
    <row r="33" spans="1:13" ht="12.75" customHeight="1" x14ac:dyDescent="0.3">
      <c r="A33" s="149" t="s">
        <v>195</v>
      </c>
      <c r="B33" s="85"/>
      <c r="C33" s="85"/>
      <c r="D33" s="85"/>
      <c r="E33" s="85"/>
      <c r="F33" s="46">
        <f t="shared" si="0"/>
        <v>0</v>
      </c>
      <c r="G33" s="46">
        <f t="shared" si="1"/>
        <v>0</v>
      </c>
      <c r="H33" s="85"/>
      <c r="I33" s="85"/>
      <c r="J33" s="46">
        <f t="shared" si="3"/>
        <v>0</v>
      </c>
      <c r="K33" s="151">
        <f t="shared" si="2"/>
        <v>0</v>
      </c>
      <c r="L33" s="85"/>
      <c r="M33" s="137"/>
    </row>
    <row r="34" spans="1:13" ht="12.75" customHeight="1" x14ac:dyDescent="0.3">
      <c r="A34" s="149" t="s">
        <v>196</v>
      </c>
      <c r="B34" s="85">
        <v>91853.25</v>
      </c>
      <c r="C34" s="85">
        <v>91853.25</v>
      </c>
      <c r="D34" s="85"/>
      <c r="E34" s="85"/>
      <c r="F34" s="46">
        <f t="shared" si="0"/>
        <v>0</v>
      </c>
      <c r="G34" s="46">
        <f t="shared" si="1"/>
        <v>91853.25</v>
      </c>
      <c r="H34" s="85"/>
      <c r="I34" s="85"/>
      <c r="J34" s="46">
        <f t="shared" si="3"/>
        <v>0</v>
      </c>
      <c r="K34" s="151">
        <f t="shared" si="2"/>
        <v>91853.25</v>
      </c>
      <c r="L34" s="85"/>
      <c r="M34" s="137"/>
    </row>
    <row r="35" spans="1:13" ht="12.75" customHeight="1" x14ac:dyDescent="0.3">
      <c r="A35" s="149" t="s">
        <v>197</v>
      </c>
      <c r="B35" s="85">
        <v>102454</v>
      </c>
      <c r="C35" s="85">
        <v>102454</v>
      </c>
      <c r="D35" s="85"/>
      <c r="E35" s="85"/>
      <c r="F35" s="46">
        <f t="shared" si="0"/>
        <v>0</v>
      </c>
      <c r="G35" s="46">
        <f t="shared" si="1"/>
        <v>102454</v>
      </c>
      <c r="H35" s="85"/>
      <c r="I35" s="85"/>
      <c r="J35" s="46">
        <f t="shared" si="3"/>
        <v>0</v>
      </c>
      <c r="K35" s="151">
        <f t="shared" si="2"/>
        <v>102454</v>
      </c>
      <c r="L35" s="85"/>
      <c r="M35" s="137"/>
    </row>
    <row r="36" spans="1:13" ht="12.75" customHeight="1" x14ac:dyDescent="0.3">
      <c r="A36" s="149" t="s">
        <v>198</v>
      </c>
      <c r="B36" s="85"/>
      <c r="C36" s="85"/>
      <c r="D36" s="85"/>
      <c r="E36" s="85"/>
      <c r="F36" s="46">
        <f t="shared" si="0"/>
        <v>0</v>
      </c>
      <c r="G36" s="46">
        <f t="shared" si="1"/>
        <v>0</v>
      </c>
      <c r="H36" s="85"/>
      <c r="I36" s="85"/>
      <c r="J36" s="46">
        <f t="shared" si="3"/>
        <v>0</v>
      </c>
      <c r="K36" s="151">
        <f t="shared" si="2"/>
        <v>0</v>
      </c>
      <c r="L36" s="85"/>
      <c r="M36" s="137"/>
    </row>
    <row r="37" spans="1:13" ht="12.75" customHeight="1" x14ac:dyDescent="0.3">
      <c r="A37" s="149" t="s">
        <v>199</v>
      </c>
      <c r="B37" s="85"/>
      <c r="C37" s="85"/>
      <c r="D37" s="85"/>
      <c r="E37" s="85"/>
      <c r="F37" s="46">
        <f t="shared" si="0"/>
        <v>0</v>
      </c>
      <c r="G37" s="46">
        <f t="shared" si="1"/>
        <v>0</v>
      </c>
      <c r="H37" s="85"/>
      <c r="I37" s="85"/>
      <c r="J37" s="46">
        <f t="shared" si="3"/>
        <v>0</v>
      </c>
      <c r="K37" s="151">
        <f t="shared" si="2"/>
        <v>0</v>
      </c>
      <c r="L37" s="85"/>
      <c r="M37" s="137"/>
    </row>
    <row r="38" spans="1:13" ht="12.75" customHeight="1" x14ac:dyDescent="0.3">
      <c r="A38" s="149" t="s">
        <v>181</v>
      </c>
      <c r="B38" s="85"/>
      <c r="C38" s="85"/>
      <c r="D38" s="85"/>
      <c r="E38" s="85"/>
      <c r="F38" s="46">
        <f t="shared" si="0"/>
        <v>0</v>
      </c>
      <c r="G38" s="46">
        <f t="shared" si="1"/>
        <v>0</v>
      </c>
      <c r="H38" s="85"/>
      <c r="I38" s="85"/>
      <c r="J38" s="46">
        <f t="shared" si="3"/>
        <v>0</v>
      </c>
      <c r="K38" s="151">
        <f t="shared" si="2"/>
        <v>0</v>
      </c>
      <c r="L38" s="85"/>
      <c r="M38" s="137"/>
    </row>
    <row r="39" spans="1:13" ht="12.75" customHeight="1" x14ac:dyDescent="0.3">
      <c r="A39" s="148" t="s">
        <v>200</v>
      </c>
      <c r="B39" s="43">
        <f>SUM(B40:B43)</f>
        <v>0</v>
      </c>
      <c r="C39" s="43">
        <f>SUM(C40:C43)</f>
        <v>0</v>
      </c>
      <c r="D39" s="43">
        <f>SUM(D40:D43)</f>
        <v>0</v>
      </c>
      <c r="E39" s="43">
        <f>SUM(E40:E43)</f>
        <v>0</v>
      </c>
      <c r="F39" s="43">
        <f t="shared" si="0"/>
        <v>0</v>
      </c>
      <c r="G39" s="43">
        <f t="shared" si="1"/>
        <v>0</v>
      </c>
      <c r="H39" s="43">
        <f>SUM(H40:H43)</f>
        <v>0</v>
      </c>
      <c r="I39" s="43">
        <f>SUM(I40:I43)</f>
        <v>0</v>
      </c>
      <c r="J39" s="43">
        <f t="shared" si="3"/>
        <v>0</v>
      </c>
      <c r="K39" s="43">
        <f t="shared" si="2"/>
        <v>0</v>
      </c>
      <c r="L39" s="43">
        <f>SUM(L40:L43)</f>
        <v>0</v>
      </c>
      <c r="M39" s="137"/>
    </row>
    <row r="40" spans="1:13" ht="12.75" customHeight="1" x14ac:dyDescent="0.3">
      <c r="A40" s="149" t="s">
        <v>201</v>
      </c>
      <c r="B40" s="85"/>
      <c r="C40" s="85"/>
      <c r="D40" s="85"/>
      <c r="E40" s="85"/>
      <c r="F40" s="46">
        <f t="shared" si="0"/>
        <v>0</v>
      </c>
      <c r="G40" s="46">
        <f t="shared" si="1"/>
        <v>0</v>
      </c>
      <c r="H40" s="85"/>
      <c r="I40" s="85"/>
      <c r="J40" s="46">
        <f t="shared" si="3"/>
        <v>0</v>
      </c>
      <c r="K40" s="151">
        <f t="shared" si="2"/>
        <v>0</v>
      </c>
      <c r="L40" s="85"/>
      <c r="M40" s="137"/>
    </row>
    <row r="41" spans="1:13" ht="12.75" customHeight="1" x14ac:dyDescent="0.3">
      <c r="A41" s="149" t="s">
        <v>202</v>
      </c>
      <c r="B41" s="85"/>
      <c r="C41" s="85"/>
      <c r="D41" s="85"/>
      <c r="E41" s="85"/>
      <c r="F41" s="46">
        <f t="shared" si="0"/>
        <v>0</v>
      </c>
      <c r="G41" s="46">
        <f t="shared" si="1"/>
        <v>0</v>
      </c>
      <c r="H41" s="85"/>
      <c r="I41" s="85"/>
      <c r="J41" s="46">
        <f t="shared" si="3"/>
        <v>0</v>
      </c>
      <c r="K41" s="151">
        <f t="shared" si="2"/>
        <v>0</v>
      </c>
      <c r="L41" s="85"/>
      <c r="M41" s="137"/>
    </row>
    <row r="42" spans="1:13" ht="12.75" customHeight="1" x14ac:dyDescent="0.3">
      <c r="A42" s="149" t="s">
        <v>203</v>
      </c>
      <c r="B42" s="85"/>
      <c r="C42" s="85"/>
      <c r="D42" s="85"/>
      <c r="E42" s="85"/>
      <c r="F42" s="46">
        <f t="shared" si="0"/>
        <v>0</v>
      </c>
      <c r="G42" s="46">
        <f t="shared" si="1"/>
        <v>0</v>
      </c>
      <c r="H42" s="85"/>
      <c r="I42" s="85"/>
      <c r="J42" s="46">
        <f t="shared" si="3"/>
        <v>0</v>
      </c>
      <c r="K42" s="151">
        <f t="shared" si="2"/>
        <v>0</v>
      </c>
      <c r="L42" s="85"/>
      <c r="M42" s="137"/>
    </row>
    <row r="43" spans="1:13" ht="12.75" customHeight="1" x14ac:dyDescent="0.3">
      <c r="A43" s="149" t="s">
        <v>181</v>
      </c>
      <c r="B43" s="85"/>
      <c r="C43" s="85"/>
      <c r="D43" s="85"/>
      <c r="E43" s="85"/>
      <c r="F43" s="46">
        <f t="shared" si="0"/>
        <v>0</v>
      </c>
      <c r="G43" s="46">
        <f t="shared" si="1"/>
        <v>0</v>
      </c>
      <c r="H43" s="85"/>
      <c r="I43" s="85"/>
      <c r="J43" s="46">
        <f t="shared" si="3"/>
        <v>0</v>
      </c>
      <c r="K43" s="151">
        <f t="shared" si="2"/>
        <v>0</v>
      </c>
      <c r="L43" s="85"/>
      <c r="M43" s="137"/>
    </row>
    <row r="44" spans="1:13" ht="12.75" customHeight="1" x14ac:dyDescent="0.3">
      <c r="A44" s="148" t="s">
        <v>204</v>
      </c>
      <c r="B44" s="43">
        <f>SUM(B45:B48)</f>
        <v>0</v>
      </c>
      <c r="C44" s="43">
        <f>SUM(C45:C48)</f>
        <v>0</v>
      </c>
      <c r="D44" s="43">
        <f>SUM(D45:D48)</f>
        <v>0</v>
      </c>
      <c r="E44" s="43">
        <f>SUM(E45:E48)</f>
        <v>0</v>
      </c>
      <c r="F44" s="43">
        <f t="shared" si="0"/>
        <v>0</v>
      </c>
      <c r="G44" s="43">
        <f t="shared" si="1"/>
        <v>0</v>
      </c>
      <c r="H44" s="43">
        <f>SUM(H45:H48)</f>
        <v>0</v>
      </c>
      <c r="I44" s="43">
        <f>SUM(I45:I48)</f>
        <v>0</v>
      </c>
      <c r="J44" s="43">
        <f t="shared" si="3"/>
        <v>0</v>
      </c>
      <c r="K44" s="43">
        <f t="shared" si="2"/>
        <v>0</v>
      </c>
      <c r="L44" s="43">
        <f>SUM(L45:L48)</f>
        <v>0</v>
      </c>
      <c r="M44" s="137"/>
    </row>
    <row r="45" spans="1:13" ht="12.75" customHeight="1" x14ac:dyDescent="0.3">
      <c r="A45" s="149" t="s">
        <v>205</v>
      </c>
      <c r="B45" s="85"/>
      <c r="C45" s="85"/>
      <c r="D45" s="85"/>
      <c r="E45" s="85"/>
      <c r="F45" s="46">
        <f t="shared" si="0"/>
        <v>0</v>
      </c>
      <c r="G45" s="46">
        <f t="shared" si="1"/>
        <v>0</v>
      </c>
      <c r="H45" s="85"/>
      <c r="I45" s="85"/>
      <c r="J45" s="46">
        <f t="shared" si="3"/>
        <v>0</v>
      </c>
      <c r="K45" s="151">
        <f t="shared" si="2"/>
        <v>0</v>
      </c>
      <c r="L45" s="85"/>
      <c r="M45" s="137"/>
    </row>
    <row r="46" spans="1:13" ht="12.75" customHeight="1" x14ac:dyDescent="0.3">
      <c r="A46" s="149" t="s">
        <v>206</v>
      </c>
      <c r="B46" s="85"/>
      <c r="C46" s="85"/>
      <c r="D46" s="85"/>
      <c r="E46" s="85"/>
      <c r="F46" s="46">
        <f t="shared" si="0"/>
        <v>0</v>
      </c>
      <c r="G46" s="46">
        <f t="shared" si="1"/>
        <v>0</v>
      </c>
      <c r="H46" s="85"/>
      <c r="I46" s="85"/>
      <c r="J46" s="46">
        <f t="shared" si="3"/>
        <v>0</v>
      </c>
      <c r="K46" s="151">
        <f t="shared" si="2"/>
        <v>0</v>
      </c>
      <c r="L46" s="85"/>
      <c r="M46" s="137"/>
    </row>
    <row r="47" spans="1:13" ht="12.75" customHeight="1" x14ac:dyDescent="0.3">
      <c r="A47" s="149" t="s">
        <v>207</v>
      </c>
      <c r="B47" s="85"/>
      <c r="C47" s="85"/>
      <c r="D47" s="85"/>
      <c r="E47" s="85"/>
      <c r="F47" s="46">
        <f t="shared" si="0"/>
        <v>0</v>
      </c>
      <c r="G47" s="46">
        <f t="shared" si="1"/>
        <v>0</v>
      </c>
      <c r="H47" s="85"/>
      <c r="I47" s="85"/>
      <c r="J47" s="46">
        <f t="shared" si="3"/>
        <v>0</v>
      </c>
      <c r="K47" s="151">
        <f t="shared" si="2"/>
        <v>0</v>
      </c>
      <c r="L47" s="85"/>
      <c r="M47" s="137"/>
    </row>
    <row r="48" spans="1:13" ht="12.75" customHeight="1" x14ac:dyDescent="0.3">
      <c r="A48" s="149" t="s">
        <v>181</v>
      </c>
      <c r="B48" s="85"/>
      <c r="C48" s="85"/>
      <c r="D48" s="85"/>
      <c r="E48" s="85"/>
      <c r="F48" s="46">
        <f t="shared" si="0"/>
        <v>0</v>
      </c>
      <c r="G48" s="46">
        <f t="shared" si="1"/>
        <v>0</v>
      </c>
      <c r="H48" s="85"/>
      <c r="I48" s="85"/>
      <c r="J48" s="46">
        <f t="shared" si="3"/>
        <v>0</v>
      </c>
      <c r="K48" s="151">
        <f t="shared" si="2"/>
        <v>0</v>
      </c>
      <c r="L48" s="85"/>
      <c r="M48" s="137"/>
    </row>
    <row r="49" spans="1:13" ht="12.75" customHeight="1" x14ac:dyDescent="0.3">
      <c r="A49" s="148" t="s">
        <v>208</v>
      </c>
      <c r="B49" s="43">
        <f>SUM(B50:B52)</f>
        <v>0</v>
      </c>
      <c r="C49" s="43">
        <f>SUM(C50:C52)</f>
        <v>0</v>
      </c>
      <c r="D49" s="43">
        <f>SUM(D50:D52)</f>
        <v>0</v>
      </c>
      <c r="E49" s="43">
        <f>SUM(E50:E52)</f>
        <v>0</v>
      </c>
      <c r="F49" s="43">
        <f t="shared" si="0"/>
        <v>0</v>
      </c>
      <c r="G49" s="43">
        <f t="shared" si="1"/>
        <v>0</v>
      </c>
      <c r="H49" s="43">
        <f>SUM(H50:H52)</f>
        <v>0</v>
      </c>
      <c r="I49" s="43">
        <f>SUM(I50:I52)</f>
        <v>0</v>
      </c>
      <c r="J49" s="43">
        <f t="shared" si="3"/>
        <v>0</v>
      </c>
      <c r="K49" s="43">
        <f t="shared" si="2"/>
        <v>0</v>
      </c>
      <c r="L49" s="43">
        <f>SUM(L50:L52)</f>
        <v>0</v>
      </c>
      <c r="M49" s="137"/>
    </row>
    <row r="50" spans="1:13" ht="12.75" customHeight="1" x14ac:dyDescent="0.3">
      <c r="A50" s="149" t="s">
        <v>209</v>
      </c>
      <c r="B50" s="85"/>
      <c r="C50" s="85"/>
      <c r="D50" s="85"/>
      <c r="E50" s="85"/>
      <c r="F50" s="46">
        <f t="shared" si="0"/>
        <v>0</v>
      </c>
      <c r="G50" s="46">
        <f t="shared" si="1"/>
        <v>0</v>
      </c>
      <c r="H50" s="85"/>
      <c r="I50" s="85"/>
      <c r="J50" s="46">
        <f t="shared" si="3"/>
        <v>0</v>
      </c>
      <c r="K50" s="151">
        <f t="shared" si="2"/>
        <v>0</v>
      </c>
      <c r="L50" s="85"/>
      <c r="M50" s="137"/>
    </row>
    <row r="51" spans="1:13" ht="12.75" customHeight="1" x14ac:dyDescent="0.3">
      <c r="A51" s="149" t="s">
        <v>210</v>
      </c>
      <c r="B51" s="85"/>
      <c r="C51" s="85"/>
      <c r="D51" s="85"/>
      <c r="E51" s="85"/>
      <c r="F51" s="46">
        <f t="shared" si="0"/>
        <v>0</v>
      </c>
      <c r="G51" s="46">
        <f t="shared" si="1"/>
        <v>0</v>
      </c>
      <c r="H51" s="85"/>
      <c r="I51" s="85"/>
      <c r="J51" s="46">
        <f t="shared" si="3"/>
        <v>0</v>
      </c>
      <c r="K51" s="151">
        <f t="shared" si="2"/>
        <v>0</v>
      </c>
      <c r="L51" s="85"/>
      <c r="M51" s="137"/>
    </row>
    <row r="52" spans="1:13" ht="12.75" customHeight="1" x14ac:dyDescent="0.3">
      <c r="A52" s="149" t="s">
        <v>181</v>
      </c>
      <c r="B52" s="85"/>
      <c r="C52" s="85"/>
      <c r="D52" s="85"/>
      <c r="E52" s="85"/>
      <c r="F52" s="46">
        <f t="shared" si="0"/>
        <v>0</v>
      </c>
      <c r="G52" s="46">
        <f t="shared" si="1"/>
        <v>0</v>
      </c>
      <c r="H52" s="85"/>
      <c r="I52" s="85"/>
      <c r="J52" s="46">
        <f t="shared" si="3"/>
        <v>0</v>
      </c>
      <c r="K52" s="151">
        <f t="shared" si="2"/>
        <v>0</v>
      </c>
      <c r="L52" s="85"/>
      <c r="M52" s="137"/>
    </row>
    <row r="53" spans="1:13" ht="12.75" customHeight="1" x14ac:dyDescent="0.3">
      <c r="A53" s="148" t="s">
        <v>211</v>
      </c>
      <c r="B53" s="43">
        <f>SUM(B54:B58)</f>
        <v>2092142.1199999999</v>
      </c>
      <c r="C53" s="43">
        <f>SUM(C54:C58)</f>
        <v>2312920.0300000003</v>
      </c>
      <c r="D53" s="43">
        <f>SUM(D54:D58)</f>
        <v>194650.59999999998</v>
      </c>
      <c r="E53" s="43">
        <f>SUM(E54:E58)</f>
        <v>454420.61</v>
      </c>
      <c r="F53" s="43">
        <f t="shared" si="0"/>
        <v>5.0344592106329092E-2</v>
      </c>
      <c r="G53" s="43">
        <f t="shared" si="1"/>
        <v>1858499.4200000004</v>
      </c>
      <c r="H53" s="43">
        <f>SUM(H54:H58)</f>
        <v>156118.6</v>
      </c>
      <c r="I53" s="43">
        <f>SUM(I54:I58)</f>
        <v>268911.61</v>
      </c>
      <c r="J53" s="43">
        <f t="shared" si="3"/>
        <v>0</v>
      </c>
      <c r="K53" s="43">
        <f t="shared" si="2"/>
        <v>2044008.4200000004</v>
      </c>
      <c r="L53" s="43">
        <f>SUM(L54:L58)</f>
        <v>0</v>
      </c>
      <c r="M53" s="137"/>
    </row>
    <row r="54" spans="1:13" ht="12.75" customHeight="1" x14ac:dyDescent="0.3">
      <c r="A54" s="149" t="s">
        <v>212</v>
      </c>
      <c r="B54" s="85">
        <v>262389.75</v>
      </c>
      <c r="C54" s="85">
        <v>262389.75</v>
      </c>
      <c r="D54" s="85"/>
      <c r="E54" s="85"/>
      <c r="F54" s="46">
        <f t="shared" si="0"/>
        <v>0</v>
      </c>
      <c r="G54" s="46">
        <f t="shared" si="1"/>
        <v>262389.75</v>
      </c>
      <c r="H54" s="85"/>
      <c r="I54" s="85"/>
      <c r="J54" s="46">
        <f t="shared" si="3"/>
        <v>0</v>
      </c>
      <c r="K54" s="151">
        <f t="shared" si="2"/>
        <v>262389.75</v>
      </c>
      <c r="L54" s="85"/>
      <c r="M54" s="137"/>
    </row>
    <row r="55" spans="1:13" ht="12.75" customHeight="1" x14ac:dyDescent="0.3">
      <c r="A55" s="149" t="s">
        <v>213</v>
      </c>
      <c r="B55" s="85">
        <v>49743.25</v>
      </c>
      <c r="C55" s="85">
        <v>49743.25</v>
      </c>
      <c r="D55" s="85"/>
      <c r="E55" s="85"/>
      <c r="F55" s="46">
        <f t="shared" si="0"/>
        <v>0</v>
      </c>
      <c r="G55" s="46">
        <f t="shared" si="1"/>
        <v>49743.25</v>
      </c>
      <c r="H55" s="85"/>
      <c r="I55" s="85"/>
      <c r="J55" s="46">
        <f t="shared" si="3"/>
        <v>0</v>
      </c>
      <c r="K55" s="151">
        <f t="shared" si="2"/>
        <v>49743.25</v>
      </c>
      <c r="L55" s="85"/>
      <c r="M55" s="137"/>
    </row>
    <row r="56" spans="1:13" ht="12.75" customHeight="1" x14ac:dyDescent="0.3">
      <c r="A56" s="149" t="s">
        <v>214</v>
      </c>
      <c r="B56" s="85">
        <v>583952.75</v>
      </c>
      <c r="C56" s="85">
        <v>583952.75</v>
      </c>
      <c r="D56" s="85">
        <v>9998.39</v>
      </c>
      <c r="E56" s="85">
        <v>29943.040000000001</v>
      </c>
      <c r="F56" s="46">
        <f t="shared" si="0"/>
        <v>3.3173454329536159E-3</v>
      </c>
      <c r="G56" s="46">
        <f t="shared" si="1"/>
        <v>554009.71</v>
      </c>
      <c r="H56" s="85">
        <v>9998.39</v>
      </c>
      <c r="I56" s="85">
        <v>29943.040000000001</v>
      </c>
      <c r="J56" s="46">
        <f t="shared" si="3"/>
        <v>0</v>
      </c>
      <c r="K56" s="151">
        <f t="shared" si="2"/>
        <v>554009.71</v>
      </c>
      <c r="L56" s="85"/>
      <c r="M56" s="137"/>
    </row>
    <row r="57" spans="1:13" ht="12.75" customHeight="1" x14ac:dyDescent="0.3">
      <c r="A57" s="149" t="s">
        <v>215</v>
      </c>
      <c r="B57" s="85">
        <v>644034.06999999995</v>
      </c>
      <c r="C57" s="85">
        <v>864811.98</v>
      </c>
      <c r="D57" s="85">
        <v>175498.71</v>
      </c>
      <c r="E57" s="85">
        <v>369114.07</v>
      </c>
      <c r="F57" s="46">
        <f t="shared" si="0"/>
        <v>4.0893605804668505E-2</v>
      </c>
      <c r="G57" s="46">
        <f t="shared" si="1"/>
        <v>495697.91</v>
      </c>
      <c r="H57" s="85">
        <v>128155.71</v>
      </c>
      <c r="I57" s="85">
        <v>210038.07</v>
      </c>
      <c r="J57" s="46">
        <f t="shared" si="3"/>
        <v>0</v>
      </c>
      <c r="K57" s="151">
        <f t="shared" si="2"/>
        <v>654773.90999999992</v>
      </c>
      <c r="L57" s="85"/>
      <c r="M57" s="137"/>
    </row>
    <row r="58" spans="1:13" ht="12.75" customHeight="1" x14ac:dyDescent="0.3">
      <c r="A58" s="149" t="s">
        <v>181</v>
      </c>
      <c r="B58" s="85">
        <v>552022.30000000005</v>
      </c>
      <c r="C58" s="85">
        <v>552022.30000000005</v>
      </c>
      <c r="D58" s="85">
        <v>9153.5</v>
      </c>
      <c r="E58" s="85">
        <v>55363.5</v>
      </c>
      <c r="F58" s="46">
        <f t="shared" si="0"/>
        <v>6.1336408687069684E-3</v>
      </c>
      <c r="G58" s="46">
        <f t="shared" si="1"/>
        <v>496658.80000000005</v>
      </c>
      <c r="H58" s="85">
        <v>17964.5</v>
      </c>
      <c r="I58" s="85">
        <v>28930.5</v>
      </c>
      <c r="J58" s="46">
        <f t="shared" si="3"/>
        <v>0</v>
      </c>
      <c r="K58" s="151">
        <f t="shared" si="2"/>
        <v>523091.80000000005</v>
      </c>
      <c r="L58" s="85"/>
      <c r="M58" s="137"/>
    </row>
    <row r="59" spans="1:13" ht="12.75" customHeight="1" x14ac:dyDescent="0.3">
      <c r="A59" s="148" t="s">
        <v>216</v>
      </c>
      <c r="B59" s="43">
        <f>SUM(B60:B64)</f>
        <v>74985.75</v>
      </c>
      <c r="C59" s="43">
        <f>SUM(C60:C64)</f>
        <v>74985.75</v>
      </c>
      <c r="D59" s="43">
        <f>SUM(D60:D64)</f>
        <v>9666.8700000000008</v>
      </c>
      <c r="E59" s="43">
        <f>SUM(E60:E64)</f>
        <v>17512.84</v>
      </c>
      <c r="F59" s="43">
        <f t="shared" si="0"/>
        <v>1.9402218275782087E-3</v>
      </c>
      <c r="G59" s="43">
        <f t="shared" si="1"/>
        <v>57472.91</v>
      </c>
      <c r="H59" s="43">
        <f>SUM(H60:H64)</f>
        <v>9666.8700000000008</v>
      </c>
      <c r="I59" s="43">
        <f>SUM(I60:I64)</f>
        <v>17512.84</v>
      </c>
      <c r="J59" s="43">
        <f t="shared" si="3"/>
        <v>0</v>
      </c>
      <c r="K59" s="43">
        <f t="shared" si="2"/>
        <v>57472.91</v>
      </c>
      <c r="L59" s="43">
        <f>SUM(L60:L64)</f>
        <v>0</v>
      </c>
      <c r="M59" s="137"/>
    </row>
    <row r="60" spans="1:13" ht="12.75" customHeight="1" x14ac:dyDescent="0.3">
      <c r="A60" s="149" t="s">
        <v>217</v>
      </c>
      <c r="B60" s="85">
        <v>74985.75</v>
      </c>
      <c r="C60" s="85">
        <v>74985.75</v>
      </c>
      <c r="D60" s="85">
        <v>9666.8700000000008</v>
      </c>
      <c r="E60" s="85">
        <v>17512.84</v>
      </c>
      <c r="F60" s="46">
        <f t="shared" si="0"/>
        <v>1.9402218275782087E-3</v>
      </c>
      <c r="G60" s="46">
        <f t="shared" si="1"/>
        <v>57472.91</v>
      </c>
      <c r="H60" s="85">
        <v>9666.8700000000008</v>
      </c>
      <c r="I60" s="85">
        <v>17512.84</v>
      </c>
      <c r="J60" s="46">
        <f t="shared" si="3"/>
        <v>0</v>
      </c>
      <c r="K60" s="151">
        <f t="shared" si="2"/>
        <v>57472.91</v>
      </c>
      <c r="L60" s="85"/>
      <c r="M60" s="137"/>
    </row>
    <row r="61" spans="1:13" ht="12.75" customHeight="1" x14ac:dyDescent="0.3">
      <c r="A61" s="149" t="s">
        <v>218</v>
      </c>
      <c r="B61" s="85"/>
      <c r="C61" s="85"/>
      <c r="D61" s="85"/>
      <c r="E61" s="85"/>
      <c r="F61" s="46">
        <f t="shared" si="0"/>
        <v>0</v>
      </c>
      <c r="G61" s="46">
        <f t="shared" si="1"/>
        <v>0</v>
      </c>
      <c r="H61" s="85"/>
      <c r="I61" s="85"/>
      <c r="J61" s="46">
        <f t="shared" si="3"/>
        <v>0</v>
      </c>
      <c r="K61" s="151">
        <f t="shared" si="2"/>
        <v>0</v>
      </c>
      <c r="L61" s="85"/>
      <c r="M61" s="137"/>
    </row>
    <row r="62" spans="1:13" ht="12.75" customHeight="1" x14ac:dyDescent="0.3">
      <c r="A62" s="149" t="s">
        <v>219</v>
      </c>
      <c r="B62" s="85"/>
      <c r="C62" s="85"/>
      <c r="D62" s="85"/>
      <c r="E62" s="85"/>
      <c r="F62" s="46">
        <f t="shared" si="0"/>
        <v>0</v>
      </c>
      <c r="G62" s="46">
        <f t="shared" si="1"/>
        <v>0</v>
      </c>
      <c r="H62" s="85"/>
      <c r="I62" s="85"/>
      <c r="J62" s="46">
        <f t="shared" si="3"/>
        <v>0</v>
      </c>
      <c r="K62" s="151">
        <f t="shared" si="2"/>
        <v>0</v>
      </c>
      <c r="L62" s="85"/>
      <c r="M62" s="137"/>
    </row>
    <row r="63" spans="1:13" ht="12.75" customHeight="1" x14ac:dyDescent="0.3">
      <c r="A63" s="149" t="s">
        <v>220</v>
      </c>
      <c r="B63" s="85"/>
      <c r="C63" s="85"/>
      <c r="D63" s="85"/>
      <c r="E63" s="85"/>
      <c r="F63" s="46">
        <f t="shared" si="0"/>
        <v>0</v>
      </c>
      <c r="G63" s="46">
        <f t="shared" si="1"/>
        <v>0</v>
      </c>
      <c r="H63" s="85"/>
      <c r="I63" s="85"/>
      <c r="J63" s="46">
        <f t="shared" si="3"/>
        <v>0</v>
      </c>
      <c r="K63" s="151">
        <f t="shared" si="2"/>
        <v>0</v>
      </c>
      <c r="L63" s="85"/>
      <c r="M63" s="137"/>
    </row>
    <row r="64" spans="1:13" ht="12.75" customHeight="1" x14ac:dyDescent="0.3">
      <c r="A64" s="149" t="s">
        <v>181</v>
      </c>
      <c r="B64" s="85"/>
      <c r="C64" s="85"/>
      <c r="D64" s="85"/>
      <c r="E64" s="85"/>
      <c r="F64" s="46">
        <f t="shared" si="0"/>
        <v>0</v>
      </c>
      <c r="G64" s="46">
        <f t="shared" si="1"/>
        <v>0</v>
      </c>
      <c r="H64" s="85"/>
      <c r="I64" s="85"/>
      <c r="J64" s="46">
        <f t="shared" si="3"/>
        <v>0</v>
      </c>
      <c r="K64" s="151">
        <f t="shared" si="2"/>
        <v>0</v>
      </c>
      <c r="L64" s="85"/>
      <c r="M64" s="137"/>
    </row>
    <row r="65" spans="1:13" ht="12.75" customHeight="1" x14ac:dyDescent="0.3">
      <c r="A65" s="148" t="s">
        <v>221</v>
      </c>
      <c r="B65" s="43">
        <f>SUM(B66:B72)</f>
        <v>8755944.75</v>
      </c>
      <c r="C65" s="43">
        <f>SUM(C66:C72)</f>
        <v>8881139.9299999997</v>
      </c>
      <c r="D65" s="43">
        <f>SUM(D66:D72)</f>
        <v>986852.31</v>
      </c>
      <c r="E65" s="43">
        <f>SUM(E66:E72)</f>
        <v>1596634.83</v>
      </c>
      <c r="F65" s="43">
        <f t="shared" si="0"/>
        <v>0.17688882830184155</v>
      </c>
      <c r="G65" s="43">
        <f t="shared" si="1"/>
        <v>7284505.0999999996</v>
      </c>
      <c r="H65" s="43">
        <f>SUM(H66:H72)</f>
        <v>669307.89999999991</v>
      </c>
      <c r="I65" s="43">
        <f>SUM(I66:I72)</f>
        <v>1158802.22</v>
      </c>
      <c r="J65" s="43">
        <f t="shared" si="3"/>
        <v>0</v>
      </c>
      <c r="K65" s="43">
        <f t="shared" si="2"/>
        <v>7722337.71</v>
      </c>
      <c r="L65" s="43">
        <f>SUM(L66:L72)</f>
        <v>0</v>
      </c>
      <c r="M65" s="137"/>
    </row>
    <row r="66" spans="1:13" ht="12.75" customHeight="1" x14ac:dyDescent="0.3">
      <c r="A66" s="149" t="s">
        <v>222</v>
      </c>
      <c r="B66" s="85">
        <v>3783206.75</v>
      </c>
      <c r="C66" s="85">
        <v>3783206.75</v>
      </c>
      <c r="D66" s="85">
        <v>256839.65</v>
      </c>
      <c r="E66" s="85">
        <v>425878.69</v>
      </c>
      <c r="F66" s="46">
        <f t="shared" si="0"/>
        <v>4.7182474700757461E-2</v>
      </c>
      <c r="G66" s="46">
        <f t="shared" si="1"/>
        <v>3357328.06</v>
      </c>
      <c r="H66" s="85">
        <v>170499.47</v>
      </c>
      <c r="I66" s="85">
        <v>339538.51</v>
      </c>
      <c r="J66" s="46">
        <f t="shared" si="3"/>
        <v>0</v>
      </c>
      <c r="K66" s="151">
        <f t="shared" si="2"/>
        <v>3443668.24</v>
      </c>
      <c r="L66" s="85"/>
      <c r="M66" s="137"/>
    </row>
    <row r="67" spans="1:13" ht="12.75" customHeight="1" x14ac:dyDescent="0.3">
      <c r="A67" s="149" t="s">
        <v>223</v>
      </c>
      <c r="B67" s="85">
        <v>2819738.5</v>
      </c>
      <c r="C67" s="85">
        <v>2944933.68</v>
      </c>
      <c r="D67" s="85">
        <v>622889.88</v>
      </c>
      <c r="E67" s="85">
        <v>1017343.29</v>
      </c>
      <c r="F67" s="46">
        <f t="shared" si="0"/>
        <v>0.11270996922248062</v>
      </c>
      <c r="G67" s="46">
        <f t="shared" si="1"/>
        <v>1927590.3900000001</v>
      </c>
      <c r="H67" s="85">
        <v>404864.61</v>
      </c>
      <c r="I67" s="85">
        <v>682329.82</v>
      </c>
      <c r="J67" s="46">
        <f t="shared" si="3"/>
        <v>0</v>
      </c>
      <c r="K67" s="151">
        <f t="shared" si="2"/>
        <v>2262603.8600000003</v>
      </c>
      <c r="L67" s="85"/>
      <c r="M67" s="137"/>
    </row>
    <row r="68" spans="1:13" ht="12.75" customHeight="1" x14ac:dyDescent="0.3">
      <c r="A68" s="149" t="s">
        <v>224</v>
      </c>
      <c r="B68" s="85"/>
      <c r="C68" s="85"/>
      <c r="D68" s="85"/>
      <c r="E68" s="85"/>
      <c r="F68" s="46">
        <f t="shared" si="0"/>
        <v>0</v>
      </c>
      <c r="G68" s="46">
        <f t="shared" si="1"/>
        <v>0</v>
      </c>
      <c r="H68" s="85"/>
      <c r="I68" s="85"/>
      <c r="J68" s="46">
        <f t="shared" si="3"/>
        <v>0</v>
      </c>
      <c r="K68" s="151">
        <f t="shared" si="2"/>
        <v>0</v>
      </c>
      <c r="L68" s="85"/>
      <c r="M68" s="137"/>
    </row>
    <row r="69" spans="1:13" ht="12.75" customHeight="1" x14ac:dyDescent="0.3">
      <c r="A69" s="149" t="s">
        <v>225</v>
      </c>
      <c r="B69" s="85">
        <v>354052.25</v>
      </c>
      <c r="C69" s="85">
        <v>354052.25</v>
      </c>
      <c r="D69" s="85"/>
      <c r="E69" s="85">
        <v>3300</v>
      </c>
      <c r="F69" s="46">
        <f t="shared" si="0"/>
        <v>3.6560215424843079E-4</v>
      </c>
      <c r="G69" s="46">
        <f t="shared" si="1"/>
        <v>350752.25</v>
      </c>
      <c r="H69" s="85"/>
      <c r="I69" s="85"/>
      <c r="J69" s="46">
        <f t="shared" si="3"/>
        <v>0</v>
      </c>
      <c r="K69" s="151">
        <f t="shared" si="2"/>
        <v>354052.25</v>
      </c>
      <c r="L69" s="85"/>
      <c r="M69" s="137"/>
    </row>
    <row r="70" spans="1:13" ht="12.75" customHeight="1" x14ac:dyDescent="0.3">
      <c r="A70" s="149" t="s">
        <v>226</v>
      </c>
      <c r="B70" s="85">
        <v>248497.75</v>
      </c>
      <c r="C70" s="85">
        <v>248497.75</v>
      </c>
      <c r="D70" s="85"/>
      <c r="E70" s="85"/>
      <c r="F70" s="46">
        <f t="shared" si="0"/>
        <v>0</v>
      </c>
      <c r="G70" s="46">
        <f t="shared" si="1"/>
        <v>248497.75</v>
      </c>
      <c r="H70" s="85"/>
      <c r="I70" s="85"/>
      <c r="J70" s="46">
        <f t="shared" si="3"/>
        <v>0</v>
      </c>
      <c r="K70" s="151">
        <f t="shared" si="2"/>
        <v>248497.75</v>
      </c>
      <c r="L70" s="85"/>
      <c r="M70" s="137"/>
    </row>
    <row r="71" spans="1:13" ht="12.75" customHeight="1" x14ac:dyDescent="0.3">
      <c r="A71" s="149" t="s">
        <v>227</v>
      </c>
      <c r="B71" s="85"/>
      <c r="C71" s="85"/>
      <c r="D71" s="85"/>
      <c r="E71" s="85"/>
      <c r="F71" s="46">
        <f t="shared" si="0"/>
        <v>0</v>
      </c>
      <c r="G71" s="46">
        <f t="shared" si="1"/>
        <v>0</v>
      </c>
      <c r="H71" s="85"/>
      <c r="I71" s="85"/>
      <c r="J71" s="46">
        <f t="shared" si="3"/>
        <v>0</v>
      </c>
      <c r="K71" s="151">
        <f t="shared" si="2"/>
        <v>0</v>
      </c>
      <c r="L71" s="85"/>
      <c r="M71" s="137"/>
    </row>
    <row r="72" spans="1:13" ht="12.75" customHeight="1" x14ac:dyDescent="0.3">
      <c r="A72" s="149" t="s">
        <v>181</v>
      </c>
      <c r="B72" s="85">
        <v>1550449.5</v>
      </c>
      <c r="C72" s="85">
        <v>1550449.5</v>
      </c>
      <c r="D72" s="85">
        <v>107122.78</v>
      </c>
      <c r="E72" s="85">
        <v>150112.85</v>
      </c>
      <c r="F72" s="46">
        <f t="shared" si="0"/>
        <v>1.6630782224355017E-2</v>
      </c>
      <c r="G72" s="46">
        <f t="shared" si="1"/>
        <v>1400336.65</v>
      </c>
      <c r="H72" s="85">
        <v>93943.82</v>
      </c>
      <c r="I72" s="85">
        <v>136933.89000000001</v>
      </c>
      <c r="J72" s="46">
        <f t="shared" si="3"/>
        <v>0</v>
      </c>
      <c r="K72" s="151">
        <f t="shared" si="2"/>
        <v>1413515.6099999999</v>
      </c>
      <c r="L72" s="85"/>
      <c r="M72" s="137"/>
    </row>
    <row r="73" spans="1:13" ht="12.75" customHeight="1" x14ac:dyDescent="0.3">
      <c r="A73" s="148" t="s">
        <v>228</v>
      </c>
      <c r="B73" s="43">
        <f>SUM(B74:B78)</f>
        <v>120750</v>
      </c>
      <c r="C73" s="43">
        <f>SUM(C74:C78)</f>
        <v>120750</v>
      </c>
      <c r="D73" s="43">
        <f>SUM(D74:D78)</f>
        <v>0</v>
      </c>
      <c r="E73" s="43">
        <f>SUM(E74:E78)</f>
        <v>27327.77</v>
      </c>
      <c r="F73" s="43">
        <f t="shared" si="0"/>
        <v>3.0276035099411026E-3</v>
      </c>
      <c r="G73" s="43">
        <f t="shared" si="1"/>
        <v>93422.23</v>
      </c>
      <c r="H73" s="43">
        <f>SUM(H74:H78)</f>
        <v>0</v>
      </c>
      <c r="I73" s="43">
        <f>SUM(I74:I78)</f>
        <v>27327.77</v>
      </c>
      <c r="J73" s="43">
        <f t="shared" si="3"/>
        <v>0</v>
      </c>
      <c r="K73" s="43">
        <f t="shared" si="2"/>
        <v>93422.23</v>
      </c>
      <c r="L73" s="43">
        <f>SUM(L74:L78)</f>
        <v>0</v>
      </c>
      <c r="M73" s="137"/>
    </row>
    <row r="74" spans="1:13" ht="12.75" customHeight="1" x14ac:dyDescent="0.3">
      <c r="A74" s="149" t="s">
        <v>229</v>
      </c>
      <c r="B74" s="85">
        <v>120750</v>
      </c>
      <c r="C74" s="85">
        <v>120750</v>
      </c>
      <c r="D74" s="85"/>
      <c r="E74" s="85">
        <v>27327.77</v>
      </c>
      <c r="F74" s="46">
        <f t="shared" si="0"/>
        <v>3.0276035099411026E-3</v>
      </c>
      <c r="G74" s="46">
        <f t="shared" si="1"/>
        <v>93422.23</v>
      </c>
      <c r="H74" s="85"/>
      <c r="I74" s="85">
        <v>27327.77</v>
      </c>
      <c r="J74" s="46">
        <f t="shared" si="3"/>
        <v>0</v>
      </c>
      <c r="K74" s="151">
        <f t="shared" si="2"/>
        <v>93422.23</v>
      </c>
      <c r="L74" s="85"/>
      <c r="M74" s="137"/>
    </row>
    <row r="75" spans="1:13" ht="12.75" customHeight="1" x14ac:dyDescent="0.3">
      <c r="A75" s="149" t="s">
        <v>230</v>
      </c>
      <c r="B75" s="85"/>
      <c r="C75" s="85"/>
      <c r="D75" s="85"/>
      <c r="E75" s="85"/>
      <c r="F75" s="46">
        <f t="shared" si="0"/>
        <v>0</v>
      </c>
      <c r="G75" s="46">
        <f t="shared" si="1"/>
        <v>0</v>
      </c>
      <c r="H75" s="85"/>
      <c r="I75" s="85"/>
      <c r="J75" s="46">
        <f t="shared" si="3"/>
        <v>0</v>
      </c>
      <c r="K75" s="151">
        <f t="shared" si="2"/>
        <v>0</v>
      </c>
      <c r="L75" s="85"/>
      <c r="M75" s="137"/>
    </row>
    <row r="76" spans="1:13" ht="12.75" customHeight="1" x14ac:dyDescent="0.3">
      <c r="A76" s="149" t="s">
        <v>231</v>
      </c>
      <c r="B76" s="85"/>
      <c r="C76" s="85"/>
      <c r="D76" s="85"/>
      <c r="E76" s="85"/>
      <c r="F76" s="46">
        <f t="shared" si="0"/>
        <v>0</v>
      </c>
      <c r="G76" s="46">
        <f t="shared" si="1"/>
        <v>0</v>
      </c>
      <c r="H76" s="85"/>
      <c r="I76" s="85"/>
      <c r="J76" s="46">
        <f t="shared" si="3"/>
        <v>0</v>
      </c>
      <c r="K76" s="151">
        <f t="shared" si="2"/>
        <v>0</v>
      </c>
      <c r="L76" s="85"/>
      <c r="M76" s="137"/>
    </row>
    <row r="77" spans="1:13" ht="12.75" customHeight="1" x14ac:dyDescent="0.3">
      <c r="A77" s="149" t="s">
        <v>232</v>
      </c>
      <c r="B77" s="85"/>
      <c r="C77" s="85"/>
      <c r="D77" s="85"/>
      <c r="E77" s="85"/>
      <c r="F77" s="46">
        <f t="shared" si="0"/>
        <v>0</v>
      </c>
      <c r="G77" s="46">
        <f t="shared" si="1"/>
        <v>0</v>
      </c>
      <c r="H77" s="85"/>
      <c r="I77" s="85"/>
      <c r="J77" s="46">
        <f t="shared" si="3"/>
        <v>0</v>
      </c>
      <c r="K77" s="151">
        <f t="shared" si="2"/>
        <v>0</v>
      </c>
      <c r="L77" s="85"/>
      <c r="M77" s="137"/>
    </row>
    <row r="78" spans="1:13" ht="12.75" customHeight="1" x14ac:dyDescent="0.3">
      <c r="A78" s="149" t="s">
        <v>181</v>
      </c>
      <c r="B78" s="85"/>
      <c r="C78" s="85"/>
      <c r="D78" s="85"/>
      <c r="E78" s="85"/>
      <c r="F78" s="46">
        <f t="shared" si="0"/>
        <v>0</v>
      </c>
      <c r="G78" s="46">
        <f t="shared" si="1"/>
        <v>0</v>
      </c>
      <c r="H78" s="85"/>
      <c r="I78" s="85"/>
      <c r="J78" s="46">
        <f t="shared" si="3"/>
        <v>0</v>
      </c>
      <c r="K78" s="151">
        <f t="shared" si="2"/>
        <v>0</v>
      </c>
      <c r="L78" s="85"/>
      <c r="M78" s="137"/>
    </row>
    <row r="79" spans="1:13" ht="12.75" customHeight="1" x14ac:dyDescent="0.3">
      <c r="A79" s="148" t="s">
        <v>233</v>
      </c>
      <c r="B79" s="43">
        <f>SUM(B80:B88)</f>
        <v>11906278.539999999</v>
      </c>
      <c r="C79" s="43">
        <f>SUM(C80:C88)</f>
        <v>12521367.610000001</v>
      </c>
      <c r="D79" s="43">
        <f>SUM(D80:D88)</f>
        <v>2361614.4500000002</v>
      </c>
      <c r="E79" s="43">
        <f>SUM(E80:E88)</f>
        <v>4860979.0299999993</v>
      </c>
      <c r="F79" s="43">
        <f t="shared" si="0"/>
        <v>0.53854072882559001</v>
      </c>
      <c r="G79" s="43">
        <f t="shared" si="1"/>
        <v>7660388.5800000019</v>
      </c>
      <c r="H79" s="43">
        <f>SUM(H80:H88)</f>
        <v>2267573.81</v>
      </c>
      <c r="I79" s="43">
        <f>SUM(I80:I88)</f>
        <v>4166912.28</v>
      </c>
      <c r="J79" s="43">
        <f t="shared" si="3"/>
        <v>0</v>
      </c>
      <c r="K79" s="43">
        <f t="shared" si="2"/>
        <v>8354455.3300000019</v>
      </c>
      <c r="L79" s="43">
        <f>SUM(L80:L88)</f>
        <v>0</v>
      </c>
      <c r="M79" s="137"/>
    </row>
    <row r="80" spans="1:13" ht="12.75" customHeight="1" x14ac:dyDescent="0.3">
      <c r="A80" s="149" t="s">
        <v>234</v>
      </c>
      <c r="B80" s="85">
        <v>10825804.289999999</v>
      </c>
      <c r="C80" s="85">
        <v>11315128.050000001</v>
      </c>
      <c r="D80" s="85">
        <v>2253101.25</v>
      </c>
      <c r="E80" s="85">
        <v>4341933.0199999996</v>
      </c>
      <c r="F80" s="46">
        <f t="shared" si="0"/>
        <v>0.48103638354981659</v>
      </c>
      <c r="G80" s="46">
        <f t="shared" si="1"/>
        <v>6973195.0300000012</v>
      </c>
      <c r="H80" s="85">
        <v>2193831.35</v>
      </c>
      <c r="I80" s="85">
        <v>4082317.32</v>
      </c>
      <c r="J80" s="46">
        <f t="shared" si="3"/>
        <v>0</v>
      </c>
      <c r="K80" s="151">
        <f t="shared" si="2"/>
        <v>7232810.7300000004</v>
      </c>
      <c r="L80" s="85"/>
      <c r="M80" s="137"/>
    </row>
    <row r="81" spans="1:13" ht="12.75" customHeight="1" x14ac:dyDescent="0.3">
      <c r="A81" s="149" t="s">
        <v>235</v>
      </c>
      <c r="B81" s="85"/>
      <c r="C81" s="85"/>
      <c r="D81" s="85"/>
      <c r="E81" s="85"/>
      <c r="F81" s="46">
        <f t="shared" si="0"/>
        <v>0</v>
      </c>
      <c r="G81" s="46">
        <f t="shared" si="1"/>
        <v>0</v>
      </c>
      <c r="H81" s="85"/>
      <c r="I81" s="85"/>
      <c r="J81" s="46">
        <f t="shared" si="3"/>
        <v>0</v>
      </c>
      <c r="K81" s="151">
        <f t="shared" si="2"/>
        <v>0</v>
      </c>
      <c r="L81" s="85"/>
      <c r="M81" s="137"/>
    </row>
    <row r="82" spans="1:13" ht="12.75" customHeight="1" x14ac:dyDescent="0.3">
      <c r="A82" s="149" t="s">
        <v>236</v>
      </c>
      <c r="B82" s="85"/>
      <c r="C82" s="85"/>
      <c r="D82" s="85"/>
      <c r="E82" s="85"/>
      <c r="F82" s="46">
        <f t="shared" si="0"/>
        <v>0</v>
      </c>
      <c r="G82" s="46">
        <f t="shared" si="1"/>
        <v>0</v>
      </c>
      <c r="H82" s="85"/>
      <c r="I82" s="85"/>
      <c r="J82" s="46">
        <f t="shared" si="3"/>
        <v>0</v>
      </c>
      <c r="K82" s="151">
        <f t="shared" si="2"/>
        <v>0</v>
      </c>
      <c r="L82" s="85"/>
      <c r="M82" s="137"/>
    </row>
    <row r="83" spans="1:13" ht="12.75" customHeight="1" x14ac:dyDescent="0.3">
      <c r="A83" s="149" t="s">
        <v>237</v>
      </c>
      <c r="B83" s="85"/>
      <c r="C83" s="85"/>
      <c r="D83" s="85"/>
      <c r="E83" s="85"/>
      <c r="F83" s="46">
        <f t="shared" si="0"/>
        <v>0</v>
      </c>
      <c r="G83" s="46">
        <f t="shared" si="1"/>
        <v>0</v>
      </c>
      <c r="H83" s="85"/>
      <c r="I83" s="85"/>
      <c r="J83" s="46">
        <f t="shared" si="3"/>
        <v>0</v>
      </c>
      <c r="K83" s="151">
        <f t="shared" si="2"/>
        <v>0</v>
      </c>
      <c r="L83" s="85"/>
      <c r="M83" s="137"/>
    </row>
    <row r="84" spans="1:13" ht="12.75" customHeight="1" x14ac:dyDescent="0.3">
      <c r="A84" s="149" t="s">
        <v>238</v>
      </c>
      <c r="B84" s="85">
        <v>182844.25</v>
      </c>
      <c r="C84" s="85">
        <v>182844.25</v>
      </c>
      <c r="D84" s="85"/>
      <c r="E84" s="85"/>
      <c r="F84" s="46">
        <f t="shared" si="0"/>
        <v>0</v>
      </c>
      <c r="G84" s="46">
        <f t="shared" si="1"/>
        <v>182844.25</v>
      </c>
      <c r="H84" s="85"/>
      <c r="I84" s="85"/>
      <c r="J84" s="46">
        <f t="shared" si="3"/>
        <v>0</v>
      </c>
      <c r="K84" s="151">
        <f t="shared" si="2"/>
        <v>182844.25</v>
      </c>
      <c r="L84" s="85"/>
      <c r="M84" s="137"/>
    </row>
    <row r="85" spans="1:13" ht="12.75" customHeight="1" x14ac:dyDescent="0.3">
      <c r="A85" s="149" t="s">
        <v>239</v>
      </c>
      <c r="B85" s="85">
        <v>97024.75</v>
      </c>
      <c r="C85" s="85">
        <v>97024.75</v>
      </c>
      <c r="D85" s="85"/>
      <c r="E85" s="85"/>
      <c r="F85" s="46">
        <f t="shared" si="0"/>
        <v>0</v>
      </c>
      <c r="G85" s="46">
        <f t="shared" si="1"/>
        <v>97024.75</v>
      </c>
      <c r="H85" s="85"/>
      <c r="I85" s="85"/>
      <c r="J85" s="46">
        <f t="shared" si="3"/>
        <v>0</v>
      </c>
      <c r="K85" s="151">
        <f t="shared" si="2"/>
        <v>97024.75</v>
      </c>
      <c r="L85" s="85"/>
      <c r="M85" s="137"/>
    </row>
    <row r="86" spans="1:13" ht="12.75" customHeight="1" x14ac:dyDescent="0.3">
      <c r="A86" s="149" t="s">
        <v>240</v>
      </c>
      <c r="B86" s="85">
        <v>44965</v>
      </c>
      <c r="C86" s="85">
        <v>44965</v>
      </c>
      <c r="D86" s="85"/>
      <c r="E86" s="85"/>
      <c r="F86" s="46">
        <f t="shared" si="0"/>
        <v>0</v>
      </c>
      <c r="G86" s="46">
        <f t="shared" si="1"/>
        <v>44965</v>
      </c>
      <c r="H86" s="85"/>
      <c r="I86" s="85"/>
      <c r="J86" s="46">
        <f t="shared" si="3"/>
        <v>0</v>
      </c>
      <c r="K86" s="151">
        <f t="shared" si="2"/>
        <v>44965</v>
      </c>
      <c r="L86" s="85"/>
      <c r="M86" s="137"/>
    </row>
    <row r="87" spans="1:13" ht="12.75" customHeight="1" x14ac:dyDescent="0.3">
      <c r="A87" s="149" t="s">
        <v>241</v>
      </c>
      <c r="B87" s="85"/>
      <c r="C87" s="85"/>
      <c r="D87" s="85"/>
      <c r="E87" s="85"/>
      <c r="F87" s="46"/>
      <c r="G87" s="46"/>
      <c r="H87" s="85"/>
      <c r="I87" s="85"/>
      <c r="J87" s="46"/>
      <c r="K87" s="151"/>
      <c r="L87" s="85"/>
      <c r="M87" s="137"/>
    </row>
    <row r="88" spans="1:13" ht="12.75" customHeight="1" x14ac:dyDescent="0.3">
      <c r="A88" s="149" t="s">
        <v>181</v>
      </c>
      <c r="B88" s="85">
        <v>755640.25</v>
      </c>
      <c r="C88" s="85">
        <v>881405.56</v>
      </c>
      <c r="D88" s="85">
        <v>108513.2</v>
      </c>
      <c r="E88" s="85">
        <v>519046.01</v>
      </c>
      <c r="F88" s="46">
        <f t="shared" ref="F88:F126" si="4">IF(E$181="",0,IF(E$181=0,0,E88/E$181))</f>
        <v>5.75043452757735E-2</v>
      </c>
      <c r="G88" s="46">
        <f t="shared" ref="G88:G126" si="5">+C88-E88</f>
        <v>362359.55000000005</v>
      </c>
      <c r="H88" s="85">
        <v>73742.460000000006</v>
      </c>
      <c r="I88" s="85">
        <v>84594.96</v>
      </c>
      <c r="J88" s="46">
        <f t="shared" ref="J88:J123" si="6">IF(I253="",0,IF(I253=0,0,I88/I$181))</f>
        <v>0</v>
      </c>
      <c r="K88" s="151">
        <f t="shared" ref="K88:K126" si="7">+C88-I88</f>
        <v>796810.60000000009</v>
      </c>
      <c r="L88" s="85"/>
      <c r="M88" s="137"/>
    </row>
    <row r="89" spans="1:13" ht="12.75" customHeight="1" x14ac:dyDescent="0.3">
      <c r="A89" s="148" t="s">
        <v>242</v>
      </c>
      <c r="B89" s="43">
        <f>SUM(B90:B92)</f>
        <v>687981.75</v>
      </c>
      <c r="C89" s="43">
        <f>SUM(C90:C92)</f>
        <v>687981.75</v>
      </c>
      <c r="D89" s="43">
        <f>SUM(D90:D92)</f>
        <v>0</v>
      </c>
      <c r="E89" s="43">
        <f>SUM(E90:E92)</f>
        <v>0</v>
      </c>
      <c r="F89" s="43">
        <f t="shared" si="4"/>
        <v>0</v>
      </c>
      <c r="G89" s="43">
        <f t="shared" si="5"/>
        <v>687981.75</v>
      </c>
      <c r="H89" s="43">
        <f>SUM(H90:H92)</f>
        <v>0</v>
      </c>
      <c r="I89" s="43">
        <f>SUM(I90:I92)</f>
        <v>0</v>
      </c>
      <c r="J89" s="43">
        <f t="shared" si="6"/>
        <v>0</v>
      </c>
      <c r="K89" s="43">
        <f t="shared" si="7"/>
        <v>687981.75</v>
      </c>
      <c r="L89" s="43">
        <f>SUM(L90:L92)</f>
        <v>0</v>
      </c>
      <c r="M89" s="137"/>
    </row>
    <row r="90" spans="1:13" ht="12.75" customHeight="1" x14ac:dyDescent="0.3">
      <c r="A90" s="149" t="s">
        <v>243</v>
      </c>
      <c r="B90" s="85"/>
      <c r="C90" s="85"/>
      <c r="D90" s="85"/>
      <c r="E90" s="85"/>
      <c r="F90" s="46">
        <f t="shared" si="4"/>
        <v>0</v>
      </c>
      <c r="G90" s="46">
        <f t="shared" si="5"/>
        <v>0</v>
      </c>
      <c r="H90" s="85"/>
      <c r="I90" s="85"/>
      <c r="J90" s="46">
        <f t="shared" si="6"/>
        <v>0</v>
      </c>
      <c r="K90" s="151">
        <f t="shared" si="7"/>
        <v>0</v>
      </c>
      <c r="L90" s="85"/>
      <c r="M90" s="137"/>
    </row>
    <row r="91" spans="1:13" ht="12.75" customHeight="1" x14ac:dyDescent="0.3">
      <c r="A91" s="149" t="s">
        <v>244</v>
      </c>
      <c r="B91" s="85">
        <v>217551.25</v>
      </c>
      <c r="C91" s="85">
        <v>217551.25</v>
      </c>
      <c r="D91" s="85"/>
      <c r="E91" s="85"/>
      <c r="F91" s="46">
        <f t="shared" si="4"/>
        <v>0</v>
      </c>
      <c r="G91" s="46">
        <f t="shared" si="5"/>
        <v>217551.25</v>
      </c>
      <c r="H91" s="85"/>
      <c r="I91" s="85"/>
      <c r="J91" s="46">
        <f t="shared" si="6"/>
        <v>0</v>
      </c>
      <c r="K91" s="151">
        <f t="shared" si="7"/>
        <v>217551.25</v>
      </c>
      <c r="L91" s="85"/>
      <c r="M91" s="137"/>
    </row>
    <row r="92" spans="1:13" ht="12.75" customHeight="1" x14ac:dyDescent="0.3">
      <c r="A92" s="149" t="s">
        <v>181</v>
      </c>
      <c r="B92" s="85">
        <v>470430.5</v>
      </c>
      <c r="C92" s="85">
        <v>470430.5</v>
      </c>
      <c r="D92" s="85"/>
      <c r="E92" s="85"/>
      <c r="F92" s="46">
        <f t="shared" si="4"/>
        <v>0</v>
      </c>
      <c r="G92" s="46">
        <f t="shared" si="5"/>
        <v>470430.5</v>
      </c>
      <c r="H92" s="85"/>
      <c r="I92" s="85"/>
      <c r="J92" s="46">
        <f t="shared" si="6"/>
        <v>0</v>
      </c>
      <c r="K92" s="151">
        <f t="shared" si="7"/>
        <v>470430.5</v>
      </c>
      <c r="L92" s="85"/>
      <c r="M92" s="137"/>
    </row>
    <row r="93" spans="1:13" ht="12.75" customHeight="1" x14ac:dyDescent="0.3">
      <c r="A93" s="148" t="s">
        <v>245</v>
      </c>
      <c r="B93" s="43">
        <f>SUM(B94:B97)</f>
        <v>0</v>
      </c>
      <c r="C93" s="43">
        <f>SUM(C94:C97)</f>
        <v>0</v>
      </c>
      <c r="D93" s="43">
        <f>SUM(D94:D97)</f>
        <v>0</v>
      </c>
      <c r="E93" s="43">
        <f>SUM(E94:E97)</f>
        <v>0</v>
      </c>
      <c r="F93" s="43">
        <f t="shared" si="4"/>
        <v>0</v>
      </c>
      <c r="G93" s="43">
        <f t="shared" si="5"/>
        <v>0</v>
      </c>
      <c r="H93" s="43">
        <f>SUM(H94:H97)</f>
        <v>0</v>
      </c>
      <c r="I93" s="43">
        <f>SUM(I94:I97)</f>
        <v>0</v>
      </c>
      <c r="J93" s="43">
        <f t="shared" si="6"/>
        <v>0</v>
      </c>
      <c r="K93" s="43">
        <f t="shared" si="7"/>
        <v>0</v>
      </c>
      <c r="L93" s="43">
        <f>SUM(L94:L97)</f>
        <v>0</v>
      </c>
      <c r="M93" s="137"/>
    </row>
    <row r="94" spans="1:13" ht="12.75" customHeight="1" x14ac:dyDescent="0.3">
      <c r="A94" s="149" t="s">
        <v>246</v>
      </c>
      <c r="B94" s="85"/>
      <c r="C94" s="85"/>
      <c r="D94" s="85"/>
      <c r="E94" s="85"/>
      <c r="F94" s="46">
        <f t="shared" si="4"/>
        <v>0</v>
      </c>
      <c r="G94" s="46">
        <f t="shared" si="5"/>
        <v>0</v>
      </c>
      <c r="H94" s="85"/>
      <c r="I94" s="85"/>
      <c r="J94" s="46">
        <f t="shared" si="6"/>
        <v>0</v>
      </c>
      <c r="K94" s="151">
        <f t="shared" si="7"/>
        <v>0</v>
      </c>
      <c r="L94" s="85"/>
      <c r="M94" s="137"/>
    </row>
    <row r="95" spans="1:13" ht="12.75" customHeight="1" x14ac:dyDescent="0.3">
      <c r="A95" s="149" t="s">
        <v>247</v>
      </c>
      <c r="B95" s="85"/>
      <c r="C95" s="85"/>
      <c r="D95" s="85"/>
      <c r="E95" s="85"/>
      <c r="F95" s="46">
        <f t="shared" si="4"/>
        <v>0</v>
      </c>
      <c r="G95" s="46">
        <f t="shared" si="5"/>
        <v>0</v>
      </c>
      <c r="H95" s="85"/>
      <c r="I95" s="85"/>
      <c r="J95" s="46">
        <f t="shared" si="6"/>
        <v>0</v>
      </c>
      <c r="K95" s="151">
        <f t="shared" si="7"/>
        <v>0</v>
      </c>
      <c r="L95" s="85"/>
      <c r="M95" s="137"/>
    </row>
    <row r="96" spans="1:13" ht="12.75" customHeight="1" x14ac:dyDescent="0.3">
      <c r="A96" s="149" t="s">
        <v>248</v>
      </c>
      <c r="B96" s="85"/>
      <c r="C96" s="85"/>
      <c r="D96" s="85"/>
      <c r="E96" s="85"/>
      <c r="F96" s="46">
        <f t="shared" si="4"/>
        <v>0</v>
      </c>
      <c r="G96" s="46">
        <f t="shared" si="5"/>
        <v>0</v>
      </c>
      <c r="H96" s="85"/>
      <c r="I96" s="85"/>
      <c r="J96" s="46">
        <f t="shared" si="6"/>
        <v>0</v>
      </c>
      <c r="K96" s="151">
        <f t="shared" si="7"/>
        <v>0</v>
      </c>
      <c r="L96" s="85"/>
      <c r="M96" s="137"/>
    </row>
    <row r="97" spans="1:13" ht="12.75" customHeight="1" x14ac:dyDescent="0.3">
      <c r="A97" s="149" t="s">
        <v>181</v>
      </c>
      <c r="B97" s="85"/>
      <c r="C97" s="85"/>
      <c r="D97" s="85"/>
      <c r="E97" s="85"/>
      <c r="F97" s="46">
        <f t="shared" si="4"/>
        <v>0</v>
      </c>
      <c r="G97" s="46">
        <f t="shared" si="5"/>
        <v>0</v>
      </c>
      <c r="H97" s="85"/>
      <c r="I97" s="85"/>
      <c r="J97" s="46">
        <f t="shared" si="6"/>
        <v>0</v>
      </c>
      <c r="K97" s="151">
        <f t="shared" si="7"/>
        <v>0</v>
      </c>
      <c r="L97" s="85"/>
      <c r="M97" s="137"/>
    </row>
    <row r="98" spans="1:13" ht="12.75" customHeight="1" x14ac:dyDescent="0.3">
      <c r="A98" s="148" t="s">
        <v>249</v>
      </c>
      <c r="B98" s="43">
        <f>SUM(B99:B102)</f>
        <v>4615324.3899999997</v>
      </c>
      <c r="C98" s="43">
        <f>SUM(C99:C102)</f>
        <v>4615324.3899999997</v>
      </c>
      <c r="D98" s="43">
        <f>SUM(D99:D102)</f>
        <v>17667.18</v>
      </c>
      <c r="E98" s="43">
        <f>SUM(E99:E102)</f>
        <v>982924.64</v>
      </c>
      <c r="F98" s="43">
        <f t="shared" si="4"/>
        <v>0.10889677752965554</v>
      </c>
      <c r="G98" s="43">
        <f t="shared" si="5"/>
        <v>3632399.7499999995</v>
      </c>
      <c r="H98" s="43">
        <f>SUM(H99:H102)</f>
        <v>267182.89</v>
      </c>
      <c r="I98" s="43">
        <f>SUM(I99:I102)</f>
        <v>294490.34999999998</v>
      </c>
      <c r="J98" s="43">
        <f t="shared" si="6"/>
        <v>0</v>
      </c>
      <c r="K98" s="43">
        <f t="shared" si="7"/>
        <v>4320834.04</v>
      </c>
      <c r="L98" s="43">
        <f>SUM(L99:L102)</f>
        <v>0</v>
      </c>
      <c r="M98" s="137"/>
    </row>
    <row r="99" spans="1:13" ht="12.75" customHeight="1" x14ac:dyDescent="0.3">
      <c r="A99" s="149" t="s">
        <v>250</v>
      </c>
      <c r="B99" s="85">
        <v>4470387.8899999997</v>
      </c>
      <c r="C99" s="85">
        <v>4470387.8899999997</v>
      </c>
      <c r="D99" s="85">
        <v>17667.18</v>
      </c>
      <c r="E99" s="85">
        <v>978476.1</v>
      </c>
      <c r="F99" s="46">
        <f t="shared" si="4"/>
        <v>0.10840393031533423</v>
      </c>
      <c r="G99" s="46">
        <f t="shared" si="5"/>
        <v>3491911.7899999996</v>
      </c>
      <c r="H99" s="85">
        <v>267182.89</v>
      </c>
      <c r="I99" s="85">
        <v>290041.81</v>
      </c>
      <c r="J99" s="46">
        <f t="shared" si="6"/>
        <v>0</v>
      </c>
      <c r="K99" s="151">
        <f t="shared" si="7"/>
        <v>4180346.0799999996</v>
      </c>
      <c r="L99" s="85"/>
      <c r="M99" s="137"/>
    </row>
    <row r="100" spans="1:13" ht="12.75" customHeight="1" x14ac:dyDescent="0.3">
      <c r="A100" s="149" t="s">
        <v>251</v>
      </c>
      <c r="B100" s="85">
        <v>144936.5</v>
      </c>
      <c r="C100" s="85">
        <v>144936.5</v>
      </c>
      <c r="D100" s="85"/>
      <c r="E100" s="85">
        <v>4448.54</v>
      </c>
      <c r="F100" s="46">
        <f t="shared" si="4"/>
        <v>4.9284721432130737E-4</v>
      </c>
      <c r="G100" s="46">
        <f t="shared" si="5"/>
        <v>140487.96</v>
      </c>
      <c r="H100" s="85"/>
      <c r="I100" s="85">
        <v>4448.54</v>
      </c>
      <c r="J100" s="46">
        <f t="shared" si="6"/>
        <v>0</v>
      </c>
      <c r="K100" s="151">
        <f t="shared" si="7"/>
        <v>140487.96</v>
      </c>
      <c r="L100" s="85"/>
      <c r="M100" s="137"/>
    </row>
    <row r="101" spans="1:13" ht="12.75" customHeight="1" x14ac:dyDescent="0.3">
      <c r="A101" s="149" t="s">
        <v>252</v>
      </c>
      <c r="B101" s="85"/>
      <c r="C101" s="85"/>
      <c r="D101" s="85"/>
      <c r="E101" s="85"/>
      <c r="F101" s="46">
        <f t="shared" si="4"/>
        <v>0</v>
      </c>
      <c r="G101" s="46">
        <f t="shared" si="5"/>
        <v>0</v>
      </c>
      <c r="H101" s="85"/>
      <c r="I101" s="85"/>
      <c r="J101" s="46">
        <f t="shared" si="6"/>
        <v>0</v>
      </c>
      <c r="K101" s="151">
        <f t="shared" si="7"/>
        <v>0</v>
      </c>
      <c r="L101" s="85"/>
      <c r="M101" s="137"/>
    </row>
    <row r="102" spans="1:13" ht="12.75" customHeight="1" x14ac:dyDescent="0.3">
      <c r="A102" s="149" t="s">
        <v>181</v>
      </c>
      <c r="B102" s="85"/>
      <c r="C102" s="85"/>
      <c r="D102" s="85"/>
      <c r="E102" s="85"/>
      <c r="F102" s="46">
        <f t="shared" si="4"/>
        <v>0</v>
      </c>
      <c r="G102" s="46">
        <f t="shared" si="5"/>
        <v>0</v>
      </c>
      <c r="H102" s="85"/>
      <c r="I102" s="85"/>
      <c r="J102" s="46">
        <f t="shared" si="6"/>
        <v>0</v>
      </c>
      <c r="K102" s="151">
        <f t="shared" si="7"/>
        <v>0</v>
      </c>
      <c r="L102" s="85"/>
      <c r="M102" s="137"/>
    </row>
    <row r="103" spans="1:13" ht="12.75" customHeight="1" x14ac:dyDescent="0.3">
      <c r="A103" s="148" t="s">
        <v>253</v>
      </c>
      <c r="B103" s="43">
        <f>SUM(B104:B106)</f>
        <v>0</v>
      </c>
      <c r="C103" s="43">
        <f>SUM(C104:C106)</f>
        <v>0</v>
      </c>
      <c r="D103" s="43">
        <f>SUM(D104:D106)</f>
        <v>0</v>
      </c>
      <c r="E103" s="43">
        <f>SUM(E104:E106)</f>
        <v>0</v>
      </c>
      <c r="F103" s="43">
        <f t="shared" si="4"/>
        <v>0</v>
      </c>
      <c r="G103" s="43">
        <f t="shared" si="5"/>
        <v>0</v>
      </c>
      <c r="H103" s="43">
        <f>SUM(H104:H106)</f>
        <v>0</v>
      </c>
      <c r="I103" s="43">
        <f>SUM(I104:I106)</f>
        <v>0</v>
      </c>
      <c r="J103" s="43">
        <f t="shared" si="6"/>
        <v>0</v>
      </c>
      <c r="K103" s="43">
        <f t="shared" si="7"/>
        <v>0</v>
      </c>
      <c r="L103" s="43">
        <f>SUM(L104:L106)</f>
        <v>0</v>
      </c>
      <c r="M103" s="137"/>
    </row>
    <row r="104" spans="1:13" ht="12.75" customHeight="1" x14ac:dyDescent="0.3">
      <c r="A104" s="149" t="s">
        <v>254</v>
      </c>
      <c r="B104" s="85"/>
      <c r="C104" s="85"/>
      <c r="D104" s="85"/>
      <c r="E104" s="85"/>
      <c r="F104" s="46">
        <f t="shared" si="4"/>
        <v>0</v>
      </c>
      <c r="G104" s="46">
        <f t="shared" si="5"/>
        <v>0</v>
      </c>
      <c r="H104" s="85"/>
      <c r="I104" s="85"/>
      <c r="J104" s="46">
        <f t="shared" si="6"/>
        <v>0</v>
      </c>
      <c r="K104" s="151">
        <f t="shared" si="7"/>
        <v>0</v>
      </c>
      <c r="L104" s="85"/>
      <c r="M104" s="137"/>
    </row>
    <row r="105" spans="1:13" ht="12.75" customHeight="1" x14ac:dyDescent="0.3">
      <c r="A105" s="149" t="s">
        <v>255</v>
      </c>
      <c r="B105" s="85"/>
      <c r="C105" s="85"/>
      <c r="D105" s="85"/>
      <c r="E105" s="85"/>
      <c r="F105" s="46">
        <f t="shared" si="4"/>
        <v>0</v>
      </c>
      <c r="G105" s="46">
        <f t="shared" si="5"/>
        <v>0</v>
      </c>
      <c r="H105" s="85"/>
      <c r="I105" s="85"/>
      <c r="J105" s="46">
        <f t="shared" si="6"/>
        <v>0</v>
      </c>
      <c r="K105" s="151">
        <f t="shared" si="7"/>
        <v>0</v>
      </c>
      <c r="L105" s="85"/>
      <c r="M105" s="137"/>
    </row>
    <row r="106" spans="1:13" ht="12.75" customHeight="1" x14ac:dyDescent="0.3">
      <c r="A106" s="149" t="s">
        <v>181</v>
      </c>
      <c r="B106" s="85"/>
      <c r="C106" s="85"/>
      <c r="D106" s="85"/>
      <c r="E106" s="85"/>
      <c r="F106" s="46">
        <f t="shared" si="4"/>
        <v>0</v>
      </c>
      <c r="G106" s="46">
        <f t="shared" si="5"/>
        <v>0</v>
      </c>
      <c r="H106" s="85"/>
      <c r="I106" s="85"/>
      <c r="J106" s="46">
        <f t="shared" si="6"/>
        <v>0</v>
      </c>
      <c r="K106" s="151">
        <f t="shared" si="7"/>
        <v>0</v>
      </c>
      <c r="L106" s="85"/>
      <c r="M106" s="137"/>
    </row>
    <row r="107" spans="1:13" ht="12.75" customHeight="1" x14ac:dyDescent="0.3">
      <c r="A107" s="148" t="s">
        <v>256</v>
      </c>
      <c r="B107" s="43">
        <f>SUM(B108:B110)</f>
        <v>379634.25</v>
      </c>
      <c r="C107" s="43">
        <f>SUM(C108:C110)</f>
        <v>379634.25</v>
      </c>
      <c r="D107" s="43">
        <f>SUM(D108:D110)</f>
        <v>0</v>
      </c>
      <c r="E107" s="43">
        <f>SUM(E108:E110)</f>
        <v>0</v>
      </c>
      <c r="F107" s="43">
        <f t="shared" si="4"/>
        <v>0</v>
      </c>
      <c r="G107" s="43">
        <f t="shared" si="5"/>
        <v>379634.25</v>
      </c>
      <c r="H107" s="43">
        <f>SUM(H108:H110)</f>
        <v>0</v>
      </c>
      <c r="I107" s="43">
        <f>SUM(I108:I110)</f>
        <v>0</v>
      </c>
      <c r="J107" s="43">
        <f t="shared" si="6"/>
        <v>0</v>
      </c>
      <c r="K107" s="43">
        <f t="shared" si="7"/>
        <v>379634.25</v>
      </c>
      <c r="L107" s="43">
        <f>SUM(L108:L110)</f>
        <v>0</v>
      </c>
      <c r="M107" s="137"/>
    </row>
    <row r="108" spans="1:13" ht="12.75" customHeight="1" x14ac:dyDescent="0.3">
      <c r="A108" s="149" t="s">
        <v>257</v>
      </c>
      <c r="B108" s="85"/>
      <c r="C108" s="85"/>
      <c r="D108" s="85"/>
      <c r="E108" s="85"/>
      <c r="F108" s="46">
        <f t="shared" si="4"/>
        <v>0</v>
      </c>
      <c r="G108" s="46">
        <f t="shared" si="5"/>
        <v>0</v>
      </c>
      <c r="H108" s="85"/>
      <c r="I108" s="85"/>
      <c r="J108" s="46">
        <f t="shared" si="6"/>
        <v>0</v>
      </c>
      <c r="K108" s="151">
        <f t="shared" si="7"/>
        <v>0</v>
      </c>
      <c r="L108" s="85"/>
      <c r="M108" s="137"/>
    </row>
    <row r="109" spans="1:13" ht="12.75" customHeight="1" x14ac:dyDescent="0.3">
      <c r="A109" s="149" t="s">
        <v>258</v>
      </c>
      <c r="B109" s="85">
        <v>379634.25</v>
      </c>
      <c r="C109" s="85">
        <v>379634.25</v>
      </c>
      <c r="D109" s="85"/>
      <c r="E109" s="85"/>
      <c r="F109" s="46">
        <f t="shared" si="4"/>
        <v>0</v>
      </c>
      <c r="G109" s="46">
        <f t="shared" si="5"/>
        <v>379634.25</v>
      </c>
      <c r="H109" s="85"/>
      <c r="I109" s="85"/>
      <c r="J109" s="46">
        <f t="shared" si="6"/>
        <v>0</v>
      </c>
      <c r="K109" s="151">
        <f t="shared" si="7"/>
        <v>379634.25</v>
      </c>
      <c r="L109" s="85"/>
      <c r="M109" s="137"/>
    </row>
    <row r="110" spans="1:13" ht="12.75" customHeight="1" x14ac:dyDescent="0.3">
      <c r="A110" s="149" t="s">
        <v>181</v>
      </c>
      <c r="B110" s="85"/>
      <c r="C110" s="85"/>
      <c r="D110" s="85"/>
      <c r="E110" s="85"/>
      <c r="F110" s="46">
        <f t="shared" si="4"/>
        <v>0</v>
      </c>
      <c r="G110" s="46">
        <f t="shared" si="5"/>
        <v>0</v>
      </c>
      <c r="H110" s="85"/>
      <c r="I110" s="85"/>
      <c r="J110" s="46">
        <f t="shared" si="6"/>
        <v>0</v>
      </c>
      <c r="K110" s="151">
        <f t="shared" si="7"/>
        <v>0</v>
      </c>
      <c r="L110" s="85"/>
      <c r="M110" s="137"/>
    </row>
    <row r="111" spans="1:13" ht="12.75" customHeight="1" x14ac:dyDescent="0.3">
      <c r="A111" s="148" t="s">
        <v>259</v>
      </c>
      <c r="B111" s="43">
        <f>SUM(B112:B117)</f>
        <v>694065.25</v>
      </c>
      <c r="C111" s="43">
        <f>SUM(C112:C117)</f>
        <v>694065.25</v>
      </c>
      <c r="D111" s="43">
        <f>SUM(D112:D117)</f>
        <v>0</v>
      </c>
      <c r="E111" s="43">
        <f>SUM(E112:E117)</f>
        <v>4000</v>
      </c>
      <c r="F111" s="43">
        <f t="shared" si="4"/>
        <v>4.4315412636173425E-4</v>
      </c>
      <c r="G111" s="43">
        <f t="shared" si="5"/>
        <v>690065.25</v>
      </c>
      <c r="H111" s="43">
        <f>SUM(H112:H117)</f>
        <v>0</v>
      </c>
      <c r="I111" s="43">
        <f>SUM(I112:I117)</f>
        <v>4000</v>
      </c>
      <c r="J111" s="43">
        <f t="shared" si="6"/>
        <v>0</v>
      </c>
      <c r="K111" s="43">
        <f t="shared" si="7"/>
        <v>690065.25</v>
      </c>
      <c r="L111" s="43">
        <f>SUM(L112:L117)</f>
        <v>0</v>
      </c>
      <c r="M111" s="137"/>
    </row>
    <row r="112" spans="1:13" ht="12.75" customHeight="1" x14ac:dyDescent="0.3">
      <c r="A112" s="149" t="s">
        <v>260</v>
      </c>
      <c r="B112" s="85">
        <v>694065.25</v>
      </c>
      <c r="C112" s="85">
        <v>694065.25</v>
      </c>
      <c r="D112" s="85"/>
      <c r="E112" s="85">
        <v>4000</v>
      </c>
      <c r="F112" s="46">
        <f t="shared" si="4"/>
        <v>4.4315412636173425E-4</v>
      </c>
      <c r="G112" s="46">
        <f t="shared" si="5"/>
        <v>690065.25</v>
      </c>
      <c r="H112" s="85"/>
      <c r="I112" s="85">
        <v>4000</v>
      </c>
      <c r="J112" s="46">
        <f t="shared" si="6"/>
        <v>0</v>
      </c>
      <c r="K112" s="151">
        <f t="shared" si="7"/>
        <v>690065.25</v>
      </c>
      <c r="L112" s="85"/>
      <c r="M112" s="137"/>
    </row>
    <row r="113" spans="1:13" ht="12.75" customHeight="1" x14ac:dyDescent="0.3">
      <c r="A113" s="149" t="s">
        <v>261</v>
      </c>
      <c r="B113" s="85"/>
      <c r="C113" s="85"/>
      <c r="D113" s="85"/>
      <c r="E113" s="85"/>
      <c r="F113" s="46">
        <f t="shared" si="4"/>
        <v>0</v>
      </c>
      <c r="G113" s="46">
        <f t="shared" si="5"/>
        <v>0</v>
      </c>
      <c r="H113" s="85"/>
      <c r="I113" s="85"/>
      <c r="J113" s="46">
        <f t="shared" si="6"/>
        <v>0</v>
      </c>
      <c r="K113" s="151">
        <f t="shared" si="7"/>
        <v>0</v>
      </c>
      <c r="L113" s="85"/>
      <c r="M113" s="137"/>
    </row>
    <row r="114" spans="1:13" ht="12.75" customHeight="1" x14ac:dyDescent="0.3">
      <c r="A114" s="149" t="s">
        <v>262</v>
      </c>
      <c r="B114" s="85"/>
      <c r="C114" s="85"/>
      <c r="D114" s="85"/>
      <c r="E114" s="85"/>
      <c r="F114" s="46">
        <f t="shared" si="4"/>
        <v>0</v>
      </c>
      <c r="G114" s="46">
        <f t="shared" si="5"/>
        <v>0</v>
      </c>
      <c r="H114" s="85"/>
      <c r="I114" s="85"/>
      <c r="J114" s="46">
        <f t="shared" si="6"/>
        <v>0</v>
      </c>
      <c r="K114" s="151">
        <f t="shared" si="7"/>
        <v>0</v>
      </c>
      <c r="L114" s="85"/>
      <c r="M114" s="137"/>
    </row>
    <row r="115" spans="1:13" ht="12.75" customHeight="1" x14ac:dyDescent="0.3">
      <c r="A115" s="149" t="s">
        <v>263</v>
      </c>
      <c r="B115" s="85"/>
      <c r="C115" s="85"/>
      <c r="D115" s="85"/>
      <c r="E115" s="85"/>
      <c r="F115" s="46">
        <f t="shared" si="4"/>
        <v>0</v>
      </c>
      <c r="G115" s="46">
        <f t="shared" si="5"/>
        <v>0</v>
      </c>
      <c r="H115" s="85"/>
      <c r="I115" s="85"/>
      <c r="J115" s="46">
        <f t="shared" si="6"/>
        <v>0</v>
      </c>
      <c r="K115" s="151">
        <f t="shared" si="7"/>
        <v>0</v>
      </c>
      <c r="L115" s="85"/>
      <c r="M115" s="137"/>
    </row>
    <row r="116" spans="1:13" ht="12.75" customHeight="1" x14ac:dyDescent="0.3">
      <c r="A116" s="149" t="s">
        <v>264</v>
      </c>
      <c r="B116" s="85"/>
      <c r="C116" s="85"/>
      <c r="D116" s="85"/>
      <c r="E116" s="85"/>
      <c r="F116" s="46">
        <f t="shared" si="4"/>
        <v>0</v>
      </c>
      <c r="G116" s="46">
        <f t="shared" si="5"/>
        <v>0</v>
      </c>
      <c r="H116" s="85"/>
      <c r="I116" s="85"/>
      <c r="J116" s="46">
        <f t="shared" si="6"/>
        <v>0</v>
      </c>
      <c r="K116" s="151">
        <f t="shared" si="7"/>
        <v>0</v>
      </c>
      <c r="L116" s="85"/>
      <c r="M116" s="137"/>
    </row>
    <row r="117" spans="1:13" ht="12.75" customHeight="1" x14ac:dyDescent="0.3">
      <c r="A117" s="149" t="s">
        <v>181</v>
      </c>
      <c r="B117" s="85"/>
      <c r="C117" s="85"/>
      <c r="D117" s="85"/>
      <c r="E117" s="85"/>
      <c r="F117" s="46">
        <f t="shared" si="4"/>
        <v>0</v>
      </c>
      <c r="G117" s="46">
        <f t="shared" si="5"/>
        <v>0</v>
      </c>
      <c r="H117" s="85"/>
      <c r="I117" s="85"/>
      <c r="J117" s="46">
        <f t="shared" si="6"/>
        <v>0</v>
      </c>
      <c r="K117" s="151">
        <f t="shared" si="7"/>
        <v>0</v>
      </c>
      <c r="L117" s="85"/>
      <c r="M117" s="137"/>
    </row>
    <row r="118" spans="1:13" ht="12.75" customHeight="1" x14ac:dyDescent="0.3">
      <c r="A118" s="148" t="s">
        <v>265</v>
      </c>
      <c r="B118" s="43">
        <f>SUM(B119:B122)</f>
        <v>0</v>
      </c>
      <c r="C118" s="43">
        <f>SUM(C119:C122)</f>
        <v>0</v>
      </c>
      <c r="D118" s="43">
        <f>SUM(D119:D122)</f>
        <v>0</v>
      </c>
      <c r="E118" s="43">
        <f>SUM(E119:E122)</f>
        <v>0</v>
      </c>
      <c r="F118" s="43">
        <f t="shared" si="4"/>
        <v>0</v>
      </c>
      <c r="G118" s="43">
        <f t="shared" si="5"/>
        <v>0</v>
      </c>
      <c r="H118" s="43">
        <f>SUM(H119:H122)</f>
        <v>0</v>
      </c>
      <c r="I118" s="43">
        <f>SUM(I119:I122)</f>
        <v>0</v>
      </c>
      <c r="J118" s="43">
        <f t="shared" si="6"/>
        <v>0</v>
      </c>
      <c r="K118" s="43">
        <f t="shared" si="7"/>
        <v>0</v>
      </c>
      <c r="L118" s="43">
        <f>SUM(L119:L122)</f>
        <v>0</v>
      </c>
      <c r="M118" s="137"/>
    </row>
    <row r="119" spans="1:13" ht="12.75" customHeight="1" x14ac:dyDescent="0.3">
      <c r="A119" s="149" t="s">
        <v>266</v>
      </c>
      <c r="B119" s="85"/>
      <c r="C119" s="85"/>
      <c r="D119" s="85"/>
      <c r="E119" s="85"/>
      <c r="F119" s="46">
        <f t="shared" si="4"/>
        <v>0</v>
      </c>
      <c r="G119" s="46">
        <f t="shared" si="5"/>
        <v>0</v>
      </c>
      <c r="H119" s="85"/>
      <c r="I119" s="85"/>
      <c r="J119" s="46">
        <f t="shared" si="6"/>
        <v>0</v>
      </c>
      <c r="K119" s="151">
        <f t="shared" si="7"/>
        <v>0</v>
      </c>
      <c r="L119" s="85"/>
      <c r="M119" s="137"/>
    </row>
    <row r="120" spans="1:13" ht="12.75" customHeight="1" x14ac:dyDescent="0.3">
      <c r="A120" s="149" t="s">
        <v>267</v>
      </c>
      <c r="B120" s="85"/>
      <c r="C120" s="85"/>
      <c r="D120" s="85"/>
      <c r="E120" s="85"/>
      <c r="F120" s="46">
        <f t="shared" si="4"/>
        <v>0</v>
      </c>
      <c r="G120" s="46">
        <f t="shared" si="5"/>
        <v>0</v>
      </c>
      <c r="H120" s="85"/>
      <c r="I120" s="85"/>
      <c r="J120" s="46">
        <f t="shared" si="6"/>
        <v>0</v>
      </c>
      <c r="K120" s="151">
        <f t="shared" si="7"/>
        <v>0</v>
      </c>
      <c r="L120" s="85"/>
      <c r="M120" s="137"/>
    </row>
    <row r="121" spans="1:13" ht="12.75" customHeight="1" x14ac:dyDescent="0.3">
      <c r="A121" s="149" t="s">
        <v>268</v>
      </c>
      <c r="B121" s="85"/>
      <c r="C121" s="85"/>
      <c r="D121" s="85"/>
      <c r="E121" s="85"/>
      <c r="F121" s="46">
        <f t="shared" si="4"/>
        <v>0</v>
      </c>
      <c r="G121" s="46">
        <f t="shared" si="5"/>
        <v>0</v>
      </c>
      <c r="H121" s="85"/>
      <c r="I121" s="85"/>
      <c r="J121" s="46">
        <f t="shared" si="6"/>
        <v>0</v>
      </c>
      <c r="K121" s="151">
        <f t="shared" si="7"/>
        <v>0</v>
      </c>
      <c r="L121" s="85"/>
      <c r="M121" s="137"/>
    </row>
    <row r="122" spans="1:13" ht="12.75" customHeight="1" x14ac:dyDescent="0.3">
      <c r="A122" s="149" t="s">
        <v>181</v>
      </c>
      <c r="B122" s="85"/>
      <c r="C122" s="85"/>
      <c r="D122" s="85"/>
      <c r="E122" s="85"/>
      <c r="F122" s="46">
        <f t="shared" si="4"/>
        <v>0</v>
      </c>
      <c r="G122" s="46">
        <f t="shared" si="5"/>
        <v>0</v>
      </c>
      <c r="H122" s="85"/>
      <c r="I122" s="85"/>
      <c r="J122" s="46">
        <f t="shared" si="6"/>
        <v>0</v>
      </c>
      <c r="K122" s="151">
        <f t="shared" si="7"/>
        <v>0</v>
      </c>
      <c r="L122" s="85"/>
      <c r="M122" s="137"/>
    </row>
    <row r="123" spans="1:13" ht="12.75" customHeight="1" x14ac:dyDescent="0.3">
      <c r="A123" s="148" t="s">
        <v>269</v>
      </c>
      <c r="B123" s="43">
        <f>SUM(B124:B129)</f>
        <v>1370360.1400000001</v>
      </c>
      <c r="C123" s="43">
        <f>SUM(C124:C129)</f>
        <v>1370360.1400000001</v>
      </c>
      <c r="D123" s="43">
        <f>SUM(D124:D129)</f>
        <v>18246.14</v>
      </c>
      <c r="E123" s="43">
        <f>SUM(E124:E129)</f>
        <v>35363.94</v>
      </c>
      <c r="F123" s="43">
        <f t="shared" si="4"/>
        <v>3.9179189838521979E-3</v>
      </c>
      <c r="G123" s="43">
        <f t="shared" si="5"/>
        <v>1334996.2000000002</v>
      </c>
      <c r="H123" s="43">
        <f>SUM(H124:H129)</f>
        <v>18246.14</v>
      </c>
      <c r="I123" s="43">
        <f>SUM(I124:I129)</f>
        <v>35363.94</v>
      </c>
      <c r="J123" s="43">
        <f t="shared" si="6"/>
        <v>0</v>
      </c>
      <c r="K123" s="43">
        <f t="shared" si="7"/>
        <v>1334996.2000000002</v>
      </c>
      <c r="L123" s="43">
        <f>SUM(L124:L129)</f>
        <v>0</v>
      </c>
      <c r="M123" s="137"/>
    </row>
    <row r="124" spans="1:13" ht="12.75" customHeight="1" x14ac:dyDescent="0.3">
      <c r="A124" s="149" t="s">
        <v>270</v>
      </c>
      <c r="B124" s="85">
        <v>216384</v>
      </c>
      <c r="C124" s="85">
        <v>216384</v>
      </c>
      <c r="D124" s="85"/>
      <c r="E124" s="85"/>
      <c r="F124" s="46">
        <f t="shared" si="4"/>
        <v>0</v>
      </c>
      <c r="G124" s="46">
        <f t="shared" si="5"/>
        <v>216384</v>
      </c>
      <c r="H124" s="85"/>
      <c r="I124" s="85"/>
      <c r="J124" s="46">
        <f>IF(I293="",0,IF(I293=0,0,I124/I$181))</f>
        <v>0</v>
      </c>
      <c r="K124" s="151">
        <f t="shared" si="7"/>
        <v>216384</v>
      </c>
      <c r="L124" s="85"/>
      <c r="M124" s="137"/>
    </row>
    <row r="125" spans="1:13" ht="12.75" customHeight="1" x14ac:dyDescent="0.3">
      <c r="A125" s="149" t="s">
        <v>271</v>
      </c>
      <c r="B125" s="85">
        <v>107548</v>
      </c>
      <c r="C125" s="85">
        <v>107548</v>
      </c>
      <c r="D125" s="85"/>
      <c r="E125" s="85"/>
      <c r="F125" s="46">
        <f t="shared" si="4"/>
        <v>0</v>
      </c>
      <c r="G125" s="46">
        <f t="shared" si="5"/>
        <v>107548</v>
      </c>
      <c r="H125" s="85"/>
      <c r="I125" s="85"/>
      <c r="J125" s="46">
        <f>IF(I294="",0,IF(I294=0,0,I125/I$181))</f>
        <v>0</v>
      </c>
      <c r="K125" s="151">
        <f t="shared" si="7"/>
        <v>107548</v>
      </c>
      <c r="L125" s="85"/>
      <c r="M125" s="137"/>
    </row>
    <row r="126" spans="1:13" ht="12.75" customHeight="1" x14ac:dyDescent="0.3">
      <c r="A126" s="149" t="s">
        <v>272</v>
      </c>
      <c r="B126" s="85"/>
      <c r="C126" s="85"/>
      <c r="D126" s="85"/>
      <c r="E126" s="85"/>
      <c r="F126" s="46">
        <f t="shared" si="4"/>
        <v>0</v>
      </c>
      <c r="G126" s="46">
        <f t="shared" si="5"/>
        <v>0</v>
      </c>
      <c r="H126" s="85"/>
      <c r="I126" s="85"/>
      <c r="J126" s="46">
        <f>IF(I295="",0,IF(I295=0,0,I126/I$181))</f>
        <v>0</v>
      </c>
      <c r="K126" s="151">
        <f t="shared" si="7"/>
        <v>0</v>
      </c>
      <c r="L126" s="85"/>
      <c r="M126" s="137"/>
    </row>
    <row r="127" spans="1:13" ht="12.75" customHeight="1" x14ac:dyDescent="0.3">
      <c r="A127" s="149" t="s">
        <v>273</v>
      </c>
      <c r="B127" s="85"/>
      <c r="C127" s="85"/>
      <c r="D127" s="85"/>
      <c r="E127" s="85"/>
      <c r="F127" s="46"/>
      <c r="G127" s="46"/>
      <c r="H127" s="85"/>
      <c r="I127" s="85"/>
      <c r="J127" s="46"/>
      <c r="K127" s="151"/>
      <c r="L127" s="85"/>
      <c r="M127" s="137"/>
    </row>
    <row r="128" spans="1:13" ht="12.75" customHeight="1" x14ac:dyDescent="0.3">
      <c r="A128" s="149" t="s">
        <v>274</v>
      </c>
      <c r="B128" s="85"/>
      <c r="C128" s="85"/>
      <c r="D128" s="85"/>
      <c r="E128" s="85"/>
      <c r="F128" s="46"/>
      <c r="G128" s="46"/>
      <c r="H128" s="85"/>
      <c r="I128" s="85"/>
      <c r="J128" s="46"/>
      <c r="K128" s="151"/>
      <c r="L128" s="85"/>
      <c r="M128" s="137"/>
    </row>
    <row r="129" spans="1:13" ht="12.75" customHeight="1" x14ac:dyDescent="0.3">
      <c r="A129" s="149" t="s">
        <v>181</v>
      </c>
      <c r="B129" s="85">
        <v>1046428.14</v>
      </c>
      <c r="C129" s="85">
        <v>1046428.14</v>
      </c>
      <c r="D129" s="85">
        <v>18246.14</v>
      </c>
      <c r="E129" s="85">
        <v>35363.94</v>
      </c>
      <c r="F129" s="46">
        <f t="shared" ref="F129:F177" si="8">IF(E$181="",0,IF(E$181=0,0,E129/E$181))</f>
        <v>3.9179189838521979E-3</v>
      </c>
      <c r="G129" s="46">
        <f t="shared" ref="G129:G180" si="9">+C129-E129</f>
        <v>1011064.2</v>
      </c>
      <c r="H129" s="85">
        <v>18246.14</v>
      </c>
      <c r="I129" s="85">
        <v>35363.94</v>
      </c>
      <c r="J129" s="46">
        <f t="shared" ref="J129:J177" si="10">IF(I296="",0,IF(I296=0,0,I129/I$181))</f>
        <v>0</v>
      </c>
      <c r="K129" s="151">
        <f t="shared" ref="K129:K180" si="11">+C129-I129</f>
        <v>1011064.2</v>
      </c>
      <c r="L129" s="85"/>
      <c r="M129" s="137"/>
    </row>
    <row r="130" spans="1:13" ht="12.75" customHeight="1" x14ac:dyDescent="0.3">
      <c r="A130" s="148" t="s">
        <v>275</v>
      </c>
      <c r="B130" s="43">
        <f>SUM(B131:B132)</f>
        <v>0</v>
      </c>
      <c r="C130" s="43">
        <f>SUM(C131:C132)</f>
        <v>0</v>
      </c>
      <c r="D130" s="43">
        <f>SUM(D131:D132)</f>
        <v>0</v>
      </c>
      <c r="E130" s="43">
        <f>SUM(E131:E132)</f>
        <v>0</v>
      </c>
      <c r="F130" s="43">
        <f t="shared" si="8"/>
        <v>0</v>
      </c>
      <c r="G130" s="43">
        <f t="shared" si="9"/>
        <v>0</v>
      </c>
      <c r="H130" s="43">
        <f>SUM(H131:H132)</f>
        <v>0</v>
      </c>
      <c r="I130" s="43">
        <f>SUM(I131:I132)</f>
        <v>0</v>
      </c>
      <c r="J130" s="43">
        <f t="shared" si="10"/>
        <v>0</v>
      </c>
      <c r="K130" s="43">
        <f t="shared" si="11"/>
        <v>0</v>
      </c>
      <c r="L130" s="43">
        <f>SUM(L131:L132)</f>
        <v>0</v>
      </c>
      <c r="M130" s="137"/>
    </row>
    <row r="131" spans="1:13" ht="12.75" customHeight="1" x14ac:dyDescent="0.3">
      <c r="A131" s="149" t="s">
        <v>276</v>
      </c>
      <c r="B131" s="85"/>
      <c r="C131" s="85"/>
      <c r="D131" s="85"/>
      <c r="E131" s="85"/>
      <c r="F131" s="46">
        <f t="shared" si="8"/>
        <v>0</v>
      </c>
      <c r="G131" s="46">
        <f t="shared" si="9"/>
        <v>0</v>
      </c>
      <c r="H131" s="85"/>
      <c r="I131" s="85"/>
      <c r="J131" s="46">
        <f t="shared" si="10"/>
        <v>0</v>
      </c>
      <c r="K131" s="151">
        <f t="shared" si="11"/>
        <v>0</v>
      </c>
      <c r="L131" s="85"/>
      <c r="M131" s="137"/>
    </row>
    <row r="132" spans="1:13" ht="12.75" customHeight="1" x14ac:dyDescent="0.3">
      <c r="A132" s="149" t="s">
        <v>277</v>
      </c>
      <c r="B132" s="85"/>
      <c r="C132" s="85"/>
      <c r="D132" s="85"/>
      <c r="E132" s="85"/>
      <c r="F132" s="46">
        <f t="shared" si="8"/>
        <v>0</v>
      </c>
      <c r="G132" s="46">
        <f t="shared" si="9"/>
        <v>0</v>
      </c>
      <c r="H132" s="85"/>
      <c r="I132" s="85"/>
      <c r="J132" s="46">
        <f t="shared" si="10"/>
        <v>0</v>
      </c>
      <c r="K132" s="151">
        <f t="shared" si="11"/>
        <v>0</v>
      </c>
      <c r="L132" s="85"/>
      <c r="M132" s="137"/>
    </row>
    <row r="133" spans="1:13" ht="12.75" customHeight="1" x14ac:dyDescent="0.3">
      <c r="A133" s="148" t="s">
        <v>278</v>
      </c>
      <c r="B133" s="43">
        <f>SUM(B134:B139)</f>
        <v>0</v>
      </c>
      <c r="C133" s="43">
        <f>SUM(C134:C139)</f>
        <v>0</v>
      </c>
      <c r="D133" s="43">
        <f>SUM(D134:D139)</f>
        <v>0</v>
      </c>
      <c r="E133" s="43">
        <f>SUM(E134:E139)</f>
        <v>0</v>
      </c>
      <c r="F133" s="43">
        <f t="shared" si="8"/>
        <v>0</v>
      </c>
      <c r="G133" s="43">
        <f t="shared" si="9"/>
        <v>0</v>
      </c>
      <c r="H133" s="43">
        <f>SUM(H134:H139)</f>
        <v>0</v>
      </c>
      <c r="I133" s="43">
        <f>SUM(I134:I139)</f>
        <v>0</v>
      </c>
      <c r="J133" s="43">
        <f t="shared" si="10"/>
        <v>0</v>
      </c>
      <c r="K133" s="43">
        <f t="shared" si="11"/>
        <v>0</v>
      </c>
      <c r="L133" s="43">
        <f>SUM(L134:L139)</f>
        <v>0</v>
      </c>
      <c r="M133" s="137"/>
    </row>
    <row r="134" spans="1:13" ht="12.75" customHeight="1" x14ac:dyDescent="0.3">
      <c r="A134" s="149" t="s">
        <v>279</v>
      </c>
      <c r="B134" s="85"/>
      <c r="C134" s="85"/>
      <c r="D134" s="85"/>
      <c r="E134" s="85"/>
      <c r="F134" s="46">
        <f t="shared" si="8"/>
        <v>0</v>
      </c>
      <c r="G134" s="46">
        <f t="shared" si="9"/>
        <v>0</v>
      </c>
      <c r="H134" s="85"/>
      <c r="I134" s="85"/>
      <c r="J134" s="46">
        <f t="shared" si="10"/>
        <v>0</v>
      </c>
      <c r="K134" s="151">
        <f t="shared" si="11"/>
        <v>0</v>
      </c>
      <c r="L134" s="85"/>
      <c r="M134" s="137"/>
    </row>
    <row r="135" spans="1:13" ht="12.75" customHeight="1" x14ac:dyDescent="0.3">
      <c r="A135" s="149" t="s">
        <v>280</v>
      </c>
      <c r="B135" s="85"/>
      <c r="C135" s="85"/>
      <c r="D135" s="85"/>
      <c r="E135" s="85"/>
      <c r="F135" s="46">
        <f t="shared" si="8"/>
        <v>0</v>
      </c>
      <c r="G135" s="46">
        <f t="shared" si="9"/>
        <v>0</v>
      </c>
      <c r="H135" s="85"/>
      <c r="I135" s="85"/>
      <c r="J135" s="46">
        <f t="shared" si="10"/>
        <v>0</v>
      </c>
      <c r="K135" s="151">
        <f t="shared" si="11"/>
        <v>0</v>
      </c>
      <c r="L135" s="85"/>
      <c r="M135" s="137"/>
    </row>
    <row r="136" spans="1:13" ht="12.75" customHeight="1" x14ac:dyDescent="0.3">
      <c r="A136" s="149" t="s">
        <v>281</v>
      </c>
      <c r="B136" s="85"/>
      <c r="C136" s="85"/>
      <c r="D136" s="85"/>
      <c r="E136" s="85"/>
      <c r="F136" s="46">
        <f t="shared" si="8"/>
        <v>0</v>
      </c>
      <c r="G136" s="46">
        <f t="shared" si="9"/>
        <v>0</v>
      </c>
      <c r="H136" s="85"/>
      <c r="I136" s="85"/>
      <c r="J136" s="46">
        <f t="shared" si="10"/>
        <v>0</v>
      </c>
      <c r="K136" s="151">
        <f t="shared" si="11"/>
        <v>0</v>
      </c>
      <c r="L136" s="85"/>
      <c r="M136" s="137"/>
    </row>
    <row r="137" spans="1:13" ht="12.75" customHeight="1" x14ac:dyDescent="0.3">
      <c r="A137" s="149" t="s">
        <v>282</v>
      </c>
      <c r="B137" s="85"/>
      <c r="C137" s="85"/>
      <c r="D137" s="85"/>
      <c r="E137" s="85"/>
      <c r="F137" s="46">
        <f t="shared" si="8"/>
        <v>0</v>
      </c>
      <c r="G137" s="46">
        <f t="shared" si="9"/>
        <v>0</v>
      </c>
      <c r="H137" s="85"/>
      <c r="I137" s="85"/>
      <c r="J137" s="46">
        <f t="shared" si="10"/>
        <v>0</v>
      </c>
      <c r="K137" s="151">
        <f t="shared" si="11"/>
        <v>0</v>
      </c>
      <c r="L137" s="85"/>
      <c r="M137" s="137"/>
    </row>
    <row r="138" spans="1:13" ht="12.75" customHeight="1" x14ac:dyDescent="0.3">
      <c r="A138" s="149" t="s">
        <v>283</v>
      </c>
      <c r="B138" s="85"/>
      <c r="C138" s="85"/>
      <c r="D138" s="85"/>
      <c r="E138" s="85"/>
      <c r="F138" s="46">
        <f t="shared" si="8"/>
        <v>0</v>
      </c>
      <c r="G138" s="46">
        <f t="shared" si="9"/>
        <v>0</v>
      </c>
      <c r="H138" s="85"/>
      <c r="I138" s="85"/>
      <c r="J138" s="46">
        <f t="shared" si="10"/>
        <v>0</v>
      </c>
      <c r="K138" s="151">
        <f t="shared" si="11"/>
        <v>0</v>
      </c>
      <c r="L138" s="85"/>
      <c r="M138" s="137"/>
    </row>
    <row r="139" spans="1:13" ht="12.75" customHeight="1" x14ac:dyDescent="0.3">
      <c r="A139" s="149" t="s">
        <v>181</v>
      </c>
      <c r="B139" s="85"/>
      <c r="C139" s="85"/>
      <c r="D139" s="85"/>
      <c r="E139" s="85"/>
      <c r="F139" s="46">
        <f t="shared" si="8"/>
        <v>0</v>
      </c>
      <c r="G139" s="46">
        <f t="shared" si="9"/>
        <v>0</v>
      </c>
      <c r="H139" s="85"/>
      <c r="I139" s="85"/>
      <c r="J139" s="46">
        <f t="shared" si="10"/>
        <v>0</v>
      </c>
      <c r="K139" s="151">
        <f t="shared" si="11"/>
        <v>0</v>
      </c>
      <c r="L139" s="85"/>
      <c r="M139" s="137"/>
    </row>
    <row r="140" spans="1:13" ht="12.75" customHeight="1" x14ac:dyDescent="0.3">
      <c r="A140" s="148" t="s">
        <v>284</v>
      </c>
      <c r="B140" s="43">
        <f>SUM(B141:B146)</f>
        <v>0</v>
      </c>
      <c r="C140" s="43">
        <f>SUM(C141:C146)</f>
        <v>0</v>
      </c>
      <c r="D140" s="43">
        <f>SUM(D141:D146)</f>
        <v>0</v>
      </c>
      <c r="E140" s="43">
        <f>SUM(E141:E146)</f>
        <v>0</v>
      </c>
      <c r="F140" s="43">
        <f t="shared" si="8"/>
        <v>0</v>
      </c>
      <c r="G140" s="43">
        <f t="shared" si="9"/>
        <v>0</v>
      </c>
      <c r="H140" s="43">
        <f>SUM(H141:H146)</f>
        <v>0</v>
      </c>
      <c r="I140" s="43">
        <f>SUM(I141:I146)</f>
        <v>0</v>
      </c>
      <c r="J140" s="43">
        <f t="shared" si="10"/>
        <v>0</v>
      </c>
      <c r="K140" s="43">
        <f t="shared" si="11"/>
        <v>0</v>
      </c>
      <c r="L140" s="43">
        <f>SUM(L141:L146)</f>
        <v>0</v>
      </c>
      <c r="M140" s="137"/>
    </row>
    <row r="141" spans="1:13" ht="12.75" customHeight="1" x14ac:dyDescent="0.3">
      <c r="A141" s="149" t="s">
        <v>285</v>
      </c>
      <c r="B141" s="85"/>
      <c r="C141" s="85"/>
      <c r="D141" s="85"/>
      <c r="E141" s="85"/>
      <c r="F141" s="46">
        <f t="shared" si="8"/>
        <v>0</v>
      </c>
      <c r="G141" s="46">
        <f t="shared" si="9"/>
        <v>0</v>
      </c>
      <c r="H141" s="85"/>
      <c r="I141" s="85"/>
      <c r="J141" s="46">
        <f t="shared" si="10"/>
        <v>0</v>
      </c>
      <c r="K141" s="151">
        <f t="shared" si="11"/>
        <v>0</v>
      </c>
      <c r="L141" s="85"/>
      <c r="M141" s="137"/>
    </row>
    <row r="142" spans="1:13" ht="12.75" customHeight="1" x14ac:dyDescent="0.3">
      <c r="A142" s="149" t="s">
        <v>286</v>
      </c>
      <c r="B142" s="85"/>
      <c r="C142" s="85"/>
      <c r="D142" s="85"/>
      <c r="E142" s="85"/>
      <c r="F142" s="46">
        <f t="shared" si="8"/>
        <v>0</v>
      </c>
      <c r="G142" s="46">
        <f t="shared" si="9"/>
        <v>0</v>
      </c>
      <c r="H142" s="85"/>
      <c r="I142" s="85"/>
      <c r="J142" s="46">
        <f t="shared" si="10"/>
        <v>0</v>
      </c>
      <c r="K142" s="151">
        <f t="shared" si="11"/>
        <v>0</v>
      </c>
      <c r="L142" s="85"/>
      <c r="M142" s="137"/>
    </row>
    <row r="143" spans="1:13" ht="12.75" customHeight="1" x14ac:dyDescent="0.3">
      <c r="A143" s="149" t="s">
        <v>287</v>
      </c>
      <c r="B143" s="85"/>
      <c r="C143" s="85"/>
      <c r="D143" s="85"/>
      <c r="E143" s="85"/>
      <c r="F143" s="46">
        <f t="shared" si="8"/>
        <v>0</v>
      </c>
      <c r="G143" s="46">
        <f t="shared" si="9"/>
        <v>0</v>
      </c>
      <c r="H143" s="85"/>
      <c r="I143" s="85"/>
      <c r="J143" s="46">
        <f t="shared" si="10"/>
        <v>0</v>
      </c>
      <c r="K143" s="151">
        <f t="shared" si="11"/>
        <v>0</v>
      </c>
      <c r="L143" s="85"/>
      <c r="M143" s="137"/>
    </row>
    <row r="144" spans="1:13" ht="12.75" customHeight="1" x14ac:dyDescent="0.3">
      <c r="A144" s="149" t="s">
        <v>288</v>
      </c>
      <c r="B144" s="85"/>
      <c r="C144" s="85"/>
      <c r="D144" s="85"/>
      <c r="E144" s="85"/>
      <c r="F144" s="46">
        <f t="shared" si="8"/>
        <v>0</v>
      </c>
      <c r="G144" s="46">
        <f t="shared" si="9"/>
        <v>0</v>
      </c>
      <c r="H144" s="85"/>
      <c r="I144" s="85"/>
      <c r="J144" s="46">
        <f t="shared" si="10"/>
        <v>0</v>
      </c>
      <c r="K144" s="151">
        <f t="shared" si="11"/>
        <v>0</v>
      </c>
      <c r="L144" s="85"/>
      <c r="M144" s="137"/>
    </row>
    <row r="145" spans="1:13" ht="12.75" customHeight="1" x14ac:dyDescent="0.3">
      <c r="A145" s="149" t="s">
        <v>289</v>
      </c>
      <c r="B145" s="85"/>
      <c r="C145" s="85"/>
      <c r="D145" s="85"/>
      <c r="E145" s="85"/>
      <c r="F145" s="46">
        <f t="shared" si="8"/>
        <v>0</v>
      </c>
      <c r="G145" s="46">
        <f t="shared" si="9"/>
        <v>0</v>
      </c>
      <c r="H145" s="85"/>
      <c r="I145" s="85"/>
      <c r="J145" s="46">
        <f t="shared" si="10"/>
        <v>0</v>
      </c>
      <c r="K145" s="151">
        <f t="shared" si="11"/>
        <v>0</v>
      </c>
      <c r="L145" s="85"/>
      <c r="M145" s="137"/>
    </row>
    <row r="146" spans="1:13" ht="12.75" customHeight="1" x14ac:dyDescent="0.3">
      <c r="A146" s="149" t="s">
        <v>181</v>
      </c>
      <c r="B146" s="85"/>
      <c r="C146" s="85"/>
      <c r="D146" s="85"/>
      <c r="E146" s="85"/>
      <c r="F146" s="46">
        <f t="shared" si="8"/>
        <v>0</v>
      </c>
      <c r="G146" s="46">
        <f t="shared" si="9"/>
        <v>0</v>
      </c>
      <c r="H146" s="85"/>
      <c r="I146" s="85"/>
      <c r="J146" s="46">
        <f t="shared" si="10"/>
        <v>0</v>
      </c>
      <c r="K146" s="151">
        <f t="shared" si="11"/>
        <v>0</v>
      </c>
      <c r="L146" s="85"/>
      <c r="M146" s="137"/>
    </row>
    <row r="147" spans="1:13" ht="12.75" customHeight="1" x14ac:dyDescent="0.3">
      <c r="A147" s="148" t="s">
        <v>290</v>
      </c>
      <c r="B147" s="43">
        <f>SUM(B148:B150)</f>
        <v>0</v>
      </c>
      <c r="C147" s="43">
        <f>SUM(C148:C150)</f>
        <v>0</v>
      </c>
      <c r="D147" s="43">
        <f>SUM(D148:D150)</f>
        <v>0</v>
      </c>
      <c r="E147" s="43">
        <f>SUM(E148:E150)</f>
        <v>0</v>
      </c>
      <c r="F147" s="43">
        <f t="shared" si="8"/>
        <v>0</v>
      </c>
      <c r="G147" s="43">
        <f t="shared" si="9"/>
        <v>0</v>
      </c>
      <c r="H147" s="43">
        <f>SUM(H148:H150)</f>
        <v>0</v>
      </c>
      <c r="I147" s="43">
        <f>SUM(I148:I150)</f>
        <v>0</v>
      </c>
      <c r="J147" s="43">
        <f t="shared" si="10"/>
        <v>0</v>
      </c>
      <c r="K147" s="43">
        <f t="shared" si="11"/>
        <v>0</v>
      </c>
      <c r="L147" s="43">
        <f>SUM(L148:L150)</f>
        <v>0</v>
      </c>
      <c r="M147" s="137"/>
    </row>
    <row r="148" spans="1:13" ht="12.75" customHeight="1" x14ac:dyDescent="0.3">
      <c r="A148" s="149" t="s">
        <v>291</v>
      </c>
      <c r="B148" s="85"/>
      <c r="C148" s="85"/>
      <c r="D148" s="85"/>
      <c r="E148" s="85"/>
      <c r="F148" s="46">
        <f t="shared" si="8"/>
        <v>0</v>
      </c>
      <c r="G148" s="46">
        <f t="shared" si="9"/>
        <v>0</v>
      </c>
      <c r="H148" s="85"/>
      <c r="I148" s="85"/>
      <c r="J148" s="46">
        <f t="shared" si="10"/>
        <v>0</v>
      </c>
      <c r="K148" s="151">
        <f t="shared" si="11"/>
        <v>0</v>
      </c>
      <c r="L148" s="85"/>
      <c r="M148" s="137"/>
    </row>
    <row r="149" spans="1:13" ht="12.75" customHeight="1" x14ac:dyDescent="0.3">
      <c r="A149" s="149" t="s">
        <v>292</v>
      </c>
      <c r="B149" s="85"/>
      <c r="C149" s="85"/>
      <c r="D149" s="85"/>
      <c r="E149" s="85"/>
      <c r="F149" s="46">
        <f t="shared" si="8"/>
        <v>0</v>
      </c>
      <c r="G149" s="46">
        <f t="shared" si="9"/>
        <v>0</v>
      </c>
      <c r="H149" s="85"/>
      <c r="I149" s="85"/>
      <c r="J149" s="46">
        <f t="shared" si="10"/>
        <v>0</v>
      </c>
      <c r="K149" s="151">
        <f t="shared" si="11"/>
        <v>0</v>
      </c>
      <c r="L149" s="85"/>
      <c r="M149" s="137"/>
    </row>
    <row r="150" spans="1:13" ht="12.75" customHeight="1" x14ac:dyDescent="0.3">
      <c r="A150" s="149" t="s">
        <v>181</v>
      </c>
      <c r="B150" s="85"/>
      <c r="C150" s="85"/>
      <c r="D150" s="85"/>
      <c r="E150" s="85"/>
      <c r="F150" s="46">
        <f t="shared" si="8"/>
        <v>0</v>
      </c>
      <c r="G150" s="46">
        <f t="shared" si="9"/>
        <v>0</v>
      </c>
      <c r="H150" s="85"/>
      <c r="I150" s="85"/>
      <c r="J150" s="46">
        <f t="shared" si="10"/>
        <v>0</v>
      </c>
      <c r="K150" s="151">
        <f t="shared" si="11"/>
        <v>0</v>
      </c>
      <c r="L150" s="85"/>
      <c r="M150" s="137"/>
    </row>
    <row r="151" spans="1:13" ht="12.75" customHeight="1" x14ac:dyDescent="0.3">
      <c r="A151" s="148" t="s">
        <v>293</v>
      </c>
      <c r="B151" s="43">
        <f>SUM(B152:B156)</f>
        <v>0</v>
      </c>
      <c r="C151" s="43">
        <f>SUM(C152:C156)</f>
        <v>0</v>
      </c>
      <c r="D151" s="43">
        <f>SUM(D152:D156)</f>
        <v>0</v>
      </c>
      <c r="E151" s="43">
        <f>SUM(E152:E156)</f>
        <v>0</v>
      </c>
      <c r="F151" s="43">
        <f t="shared" si="8"/>
        <v>0</v>
      </c>
      <c r="G151" s="43">
        <f t="shared" si="9"/>
        <v>0</v>
      </c>
      <c r="H151" s="43">
        <f>SUM(H152:H156)</f>
        <v>0</v>
      </c>
      <c r="I151" s="43">
        <f>SUM(I152:I156)</f>
        <v>0</v>
      </c>
      <c r="J151" s="43">
        <f t="shared" si="10"/>
        <v>0</v>
      </c>
      <c r="K151" s="43">
        <f t="shared" si="11"/>
        <v>0</v>
      </c>
      <c r="L151" s="43">
        <f>SUM(L152:L156)</f>
        <v>0</v>
      </c>
      <c r="M151" s="137"/>
    </row>
    <row r="152" spans="1:13" ht="12.75" customHeight="1" x14ac:dyDescent="0.3">
      <c r="A152" s="149" t="s">
        <v>294</v>
      </c>
      <c r="B152" s="85"/>
      <c r="C152" s="85"/>
      <c r="D152" s="85"/>
      <c r="E152" s="85"/>
      <c r="F152" s="46">
        <f t="shared" si="8"/>
        <v>0</v>
      </c>
      <c r="G152" s="46">
        <f t="shared" si="9"/>
        <v>0</v>
      </c>
      <c r="H152" s="85"/>
      <c r="I152" s="85"/>
      <c r="J152" s="46">
        <f t="shared" si="10"/>
        <v>0</v>
      </c>
      <c r="K152" s="151">
        <f t="shared" si="11"/>
        <v>0</v>
      </c>
      <c r="L152" s="85"/>
      <c r="M152" s="137"/>
    </row>
    <row r="153" spans="1:13" ht="12.75" customHeight="1" x14ac:dyDescent="0.3">
      <c r="A153" s="149" t="s">
        <v>295</v>
      </c>
      <c r="B153" s="85"/>
      <c r="C153" s="85"/>
      <c r="D153" s="85"/>
      <c r="E153" s="85"/>
      <c r="F153" s="46">
        <f t="shared" si="8"/>
        <v>0</v>
      </c>
      <c r="G153" s="46">
        <f t="shared" si="9"/>
        <v>0</v>
      </c>
      <c r="H153" s="85"/>
      <c r="I153" s="85"/>
      <c r="J153" s="46">
        <f t="shared" si="10"/>
        <v>0</v>
      </c>
      <c r="K153" s="151">
        <f t="shared" si="11"/>
        <v>0</v>
      </c>
      <c r="L153" s="85"/>
      <c r="M153" s="137"/>
    </row>
    <row r="154" spans="1:13" ht="12.75" customHeight="1" x14ac:dyDescent="0.3">
      <c r="A154" s="149" t="s">
        <v>296</v>
      </c>
      <c r="B154" s="85"/>
      <c r="C154" s="85"/>
      <c r="D154" s="85"/>
      <c r="E154" s="85"/>
      <c r="F154" s="46">
        <f t="shared" si="8"/>
        <v>0</v>
      </c>
      <c r="G154" s="46">
        <f t="shared" si="9"/>
        <v>0</v>
      </c>
      <c r="H154" s="85"/>
      <c r="I154" s="85"/>
      <c r="J154" s="46">
        <f t="shared" si="10"/>
        <v>0</v>
      </c>
      <c r="K154" s="151">
        <f t="shared" si="11"/>
        <v>0</v>
      </c>
      <c r="L154" s="85"/>
      <c r="M154" s="137"/>
    </row>
    <row r="155" spans="1:13" ht="12.75" customHeight="1" x14ac:dyDescent="0.3">
      <c r="A155" s="149" t="s">
        <v>297</v>
      </c>
      <c r="B155" s="85"/>
      <c r="C155" s="85"/>
      <c r="D155" s="85"/>
      <c r="E155" s="85"/>
      <c r="F155" s="46">
        <f t="shared" si="8"/>
        <v>0</v>
      </c>
      <c r="G155" s="46">
        <f t="shared" si="9"/>
        <v>0</v>
      </c>
      <c r="H155" s="85"/>
      <c r="I155" s="85"/>
      <c r="J155" s="46">
        <f t="shared" si="10"/>
        <v>0</v>
      </c>
      <c r="K155" s="151">
        <f t="shared" si="11"/>
        <v>0</v>
      </c>
      <c r="L155" s="85"/>
      <c r="M155" s="137"/>
    </row>
    <row r="156" spans="1:13" ht="12.75" customHeight="1" x14ac:dyDescent="0.3">
      <c r="A156" s="149" t="s">
        <v>181</v>
      </c>
      <c r="B156" s="85"/>
      <c r="C156" s="85"/>
      <c r="D156" s="85"/>
      <c r="E156" s="85"/>
      <c r="F156" s="46">
        <f t="shared" si="8"/>
        <v>0</v>
      </c>
      <c r="G156" s="46">
        <f t="shared" si="9"/>
        <v>0</v>
      </c>
      <c r="H156" s="85"/>
      <c r="I156" s="85"/>
      <c r="J156" s="46">
        <f t="shared" si="10"/>
        <v>0</v>
      </c>
      <c r="K156" s="151">
        <f t="shared" si="11"/>
        <v>0</v>
      </c>
      <c r="L156" s="85"/>
      <c r="M156" s="137"/>
    </row>
    <row r="157" spans="1:13" ht="12.75" customHeight="1" x14ac:dyDescent="0.3">
      <c r="A157" s="148" t="s">
        <v>298</v>
      </c>
      <c r="B157" s="43">
        <f>SUM(B158:B163)</f>
        <v>570532.25</v>
      </c>
      <c r="C157" s="43">
        <f>SUM(C158:C163)</f>
        <v>570532.25</v>
      </c>
      <c r="D157" s="43">
        <f>SUM(D158:D163)</f>
        <v>3791.44</v>
      </c>
      <c r="E157" s="43">
        <f>SUM(E158:E163)</f>
        <v>10979.32</v>
      </c>
      <c r="F157" s="43">
        <f t="shared" si="8"/>
        <v>1.216382740661479E-3</v>
      </c>
      <c r="G157" s="43">
        <f t="shared" si="9"/>
        <v>559552.93000000005</v>
      </c>
      <c r="H157" s="43">
        <f>SUM(H158:H163)</f>
        <v>3791.44</v>
      </c>
      <c r="I157" s="43">
        <f>SUM(I158:I163)</f>
        <v>10979.32</v>
      </c>
      <c r="J157" s="43">
        <f t="shared" si="10"/>
        <v>0</v>
      </c>
      <c r="K157" s="43">
        <f t="shared" si="11"/>
        <v>559552.93000000005</v>
      </c>
      <c r="L157" s="43">
        <f>SUM(L158:L163)</f>
        <v>0</v>
      </c>
      <c r="M157" s="137"/>
    </row>
    <row r="158" spans="1:13" ht="12.75" customHeight="1" x14ac:dyDescent="0.3">
      <c r="A158" s="149" t="s">
        <v>299</v>
      </c>
      <c r="B158" s="85"/>
      <c r="C158" s="85"/>
      <c r="D158" s="85"/>
      <c r="E158" s="85"/>
      <c r="F158" s="46">
        <f t="shared" si="8"/>
        <v>0</v>
      </c>
      <c r="G158" s="46">
        <f t="shared" si="9"/>
        <v>0</v>
      </c>
      <c r="H158" s="85"/>
      <c r="I158" s="85"/>
      <c r="J158" s="46">
        <f t="shared" si="10"/>
        <v>0</v>
      </c>
      <c r="K158" s="151">
        <f t="shared" si="11"/>
        <v>0</v>
      </c>
      <c r="L158" s="85"/>
      <c r="M158" s="137"/>
    </row>
    <row r="159" spans="1:13" ht="12.75" customHeight="1" x14ac:dyDescent="0.3">
      <c r="A159" s="149" t="s">
        <v>300</v>
      </c>
      <c r="B159" s="85">
        <v>570532.25</v>
      </c>
      <c r="C159" s="85">
        <v>570532.25</v>
      </c>
      <c r="D159" s="85">
        <v>3791.44</v>
      </c>
      <c r="E159" s="85">
        <v>10979.32</v>
      </c>
      <c r="F159" s="46">
        <f t="shared" si="8"/>
        <v>1.216382740661479E-3</v>
      </c>
      <c r="G159" s="46">
        <f t="shared" si="9"/>
        <v>559552.93000000005</v>
      </c>
      <c r="H159" s="85">
        <v>3791.44</v>
      </c>
      <c r="I159" s="85">
        <v>10979.32</v>
      </c>
      <c r="J159" s="46">
        <f t="shared" si="10"/>
        <v>0</v>
      </c>
      <c r="K159" s="151">
        <f t="shared" si="11"/>
        <v>559552.93000000005</v>
      </c>
      <c r="L159" s="85"/>
      <c r="M159" s="137"/>
    </row>
    <row r="160" spans="1:13" ht="12.75" customHeight="1" x14ac:dyDescent="0.3">
      <c r="A160" s="149" t="s">
        <v>301</v>
      </c>
      <c r="B160" s="85"/>
      <c r="C160" s="85"/>
      <c r="D160" s="85"/>
      <c r="E160" s="85"/>
      <c r="F160" s="46">
        <f t="shared" si="8"/>
        <v>0</v>
      </c>
      <c r="G160" s="46">
        <f t="shared" si="9"/>
        <v>0</v>
      </c>
      <c r="H160" s="85"/>
      <c r="I160" s="85"/>
      <c r="J160" s="46">
        <f t="shared" si="10"/>
        <v>0</v>
      </c>
      <c r="K160" s="151">
        <f t="shared" si="11"/>
        <v>0</v>
      </c>
      <c r="L160" s="85"/>
      <c r="M160" s="137"/>
    </row>
    <row r="161" spans="1:13" ht="12.75" customHeight="1" x14ac:dyDescent="0.3">
      <c r="A161" s="149" t="s">
        <v>302</v>
      </c>
      <c r="B161" s="85"/>
      <c r="C161" s="85"/>
      <c r="D161" s="85"/>
      <c r="E161" s="85"/>
      <c r="F161" s="46">
        <f t="shared" si="8"/>
        <v>0</v>
      </c>
      <c r="G161" s="46">
        <f t="shared" si="9"/>
        <v>0</v>
      </c>
      <c r="H161" s="85"/>
      <c r="I161" s="85"/>
      <c r="J161" s="46">
        <f t="shared" si="10"/>
        <v>0</v>
      </c>
      <c r="K161" s="151">
        <f t="shared" si="11"/>
        <v>0</v>
      </c>
      <c r="L161" s="85"/>
      <c r="M161" s="137"/>
    </row>
    <row r="162" spans="1:13" ht="12.75" customHeight="1" x14ac:dyDescent="0.3">
      <c r="A162" s="149" t="s">
        <v>303</v>
      </c>
      <c r="B162" s="85"/>
      <c r="C162" s="85"/>
      <c r="D162" s="85"/>
      <c r="E162" s="85"/>
      <c r="F162" s="46">
        <f t="shared" si="8"/>
        <v>0</v>
      </c>
      <c r="G162" s="46">
        <f t="shared" si="9"/>
        <v>0</v>
      </c>
      <c r="H162" s="85"/>
      <c r="I162" s="85"/>
      <c r="J162" s="46">
        <f t="shared" si="10"/>
        <v>0</v>
      </c>
      <c r="K162" s="151">
        <f t="shared" si="11"/>
        <v>0</v>
      </c>
      <c r="L162" s="85"/>
      <c r="M162" s="137"/>
    </row>
    <row r="163" spans="1:13" ht="12.75" customHeight="1" x14ac:dyDescent="0.3">
      <c r="A163" s="149" t="s">
        <v>181</v>
      </c>
      <c r="B163" s="85"/>
      <c r="C163" s="85"/>
      <c r="D163" s="85"/>
      <c r="E163" s="85"/>
      <c r="F163" s="46">
        <f t="shared" si="8"/>
        <v>0</v>
      </c>
      <c r="G163" s="46">
        <f t="shared" si="9"/>
        <v>0</v>
      </c>
      <c r="H163" s="85"/>
      <c r="I163" s="85"/>
      <c r="J163" s="46">
        <f t="shared" si="10"/>
        <v>0</v>
      </c>
      <c r="K163" s="151">
        <f t="shared" si="11"/>
        <v>0</v>
      </c>
      <c r="L163" s="85"/>
      <c r="M163" s="137"/>
    </row>
    <row r="164" spans="1:13" ht="12.75" customHeight="1" x14ac:dyDescent="0.3">
      <c r="A164" s="148" t="s">
        <v>304</v>
      </c>
      <c r="B164" s="43">
        <f>SUM(B165:B168)</f>
        <v>109370.75</v>
      </c>
      <c r="C164" s="43">
        <f>SUM(C165:C168)</f>
        <v>109370.75</v>
      </c>
      <c r="D164" s="43">
        <f>SUM(D165:D168)</f>
        <v>0</v>
      </c>
      <c r="E164" s="43">
        <f>SUM(E165:E168)</f>
        <v>0</v>
      </c>
      <c r="F164" s="43">
        <f t="shared" si="8"/>
        <v>0</v>
      </c>
      <c r="G164" s="43">
        <f t="shared" si="9"/>
        <v>109370.75</v>
      </c>
      <c r="H164" s="43">
        <f>SUM(H165:H168)</f>
        <v>0</v>
      </c>
      <c r="I164" s="43">
        <f>SUM(I165:I168)</f>
        <v>0</v>
      </c>
      <c r="J164" s="43">
        <f t="shared" si="10"/>
        <v>0</v>
      </c>
      <c r="K164" s="43">
        <f t="shared" si="11"/>
        <v>109370.75</v>
      </c>
      <c r="L164" s="43">
        <f>SUM(L165:L168)</f>
        <v>0</v>
      </c>
      <c r="M164" s="137"/>
    </row>
    <row r="165" spans="1:13" ht="12.75" customHeight="1" x14ac:dyDescent="0.3">
      <c r="A165" s="149" t="s">
        <v>305</v>
      </c>
      <c r="B165" s="85"/>
      <c r="C165" s="85"/>
      <c r="D165" s="85"/>
      <c r="E165" s="85"/>
      <c r="F165" s="46">
        <f t="shared" si="8"/>
        <v>0</v>
      </c>
      <c r="G165" s="46">
        <f t="shared" si="9"/>
        <v>0</v>
      </c>
      <c r="H165" s="85"/>
      <c r="I165" s="85"/>
      <c r="J165" s="46">
        <f t="shared" si="10"/>
        <v>0</v>
      </c>
      <c r="K165" s="151">
        <f t="shared" si="11"/>
        <v>0</v>
      </c>
      <c r="L165" s="85"/>
      <c r="M165" s="137"/>
    </row>
    <row r="166" spans="1:13" ht="12.75" customHeight="1" x14ac:dyDescent="0.3">
      <c r="A166" s="149" t="s">
        <v>306</v>
      </c>
      <c r="B166" s="85"/>
      <c r="C166" s="85"/>
      <c r="D166" s="85"/>
      <c r="E166" s="85"/>
      <c r="F166" s="46">
        <f t="shared" si="8"/>
        <v>0</v>
      </c>
      <c r="G166" s="46">
        <f t="shared" si="9"/>
        <v>0</v>
      </c>
      <c r="H166" s="85"/>
      <c r="I166" s="85"/>
      <c r="J166" s="46">
        <f t="shared" si="10"/>
        <v>0</v>
      </c>
      <c r="K166" s="151">
        <f t="shared" si="11"/>
        <v>0</v>
      </c>
      <c r="L166" s="85"/>
      <c r="M166" s="137"/>
    </row>
    <row r="167" spans="1:13" ht="12.75" customHeight="1" x14ac:dyDescent="0.3">
      <c r="A167" s="149" t="s">
        <v>307</v>
      </c>
      <c r="B167" s="85">
        <v>109370.75</v>
      </c>
      <c r="C167" s="85">
        <v>109370.75</v>
      </c>
      <c r="D167" s="85"/>
      <c r="E167" s="85"/>
      <c r="F167" s="46">
        <f t="shared" si="8"/>
        <v>0</v>
      </c>
      <c r="G167" s="46">
        <f t="shared" si="9"/>
        <v>109370.75</v>
      </c>
      <c r="H167" s="85"/>
      <c r="I167" s="85"/>
      <c r="J167" s="46">
        <f t="shared" si="10"/>
        <v>0</v>
      </c>
      <c r="K167" s="151">
        <f t="shared" si="11"/>
        <v>109370.75</v>
      </c>
      <c r="L167" s="85"/>
      <c r="M167" s="137"/>
    </row>
    <row r="168" spans="1:13" ht="12.75" customHeight="1" x14ac:dyDescent="0.3">
      <c r="A168" s="149" t="s">
        <v>181</v>
      </c>
      <c r="B168" s="85"/>
      <c r="C168" s="85"/>
      <c r="D168" s="85"/>
      <c r="E168" s="85"/>
      <c r="F168" s="46">
        <f t="shared" si="8"/>
        <v>0</v>
      </c>
      <c r="G168" s="46">
        <f t="shared" si="9"/>
        <v>0</v>
      </c>
      <c r="H168" s="85"/>
      <c r="I168" s="85"/>
      <c r="J168" s="46">
        <f t="shared" si="10"/>
        <v>0</v>
      </c>
      <c r="K168" s="151">
        <f t="shared" si="11"/>
        <v>0</v>
      </c>
      <c r="L168" s="85"/>
      <c r="M168" s="137"/>
    </row>
    <row r="169" spans="1:13" ht="12.75" customHeight="1" x14ac:dyDescent="0.3">
      <c r="A169" s="148" t="s">
        <v>308</v>
      </c>
      <c r="B169" s="43">
        <f>SUM(B170:B177)</f>
        <v>364074.75</v>
      </c>
      <c r="C169" s="43">
        <f>SUM(C170:C177)</f>
        <v>364074.75</v>
      </c>
      <c r="D169" s="43">
        <f>SUM(D170:D177)</f>
        <v>11785.28</v>
      </c>
      <c r="E169" s="43">
        <f>SUM(E170:E177)</f>
        <v>52941.54</v>
      </c>
      <c r="F169" s="43">
        <f t="shared" si="8"/>
        <v>5.865315476736202E-3</v>
      </c>
      <c r="G169" s="43">
        <f t="shared" si="9"/>
        <v>311133.21000000002</v>
      </c>
      <c r="H169" s="43">
        <f>SUM(H170:H177)</f>
        <v>11785.28</v>
      </c>
      <c r="I169" s="43">
        <f>SUM(I170:I177)</f>
        <v>52941.54</v>
      </c>
      <c r="J169" s="43">
        <f t="shared" si="10"/>
        <v>0</v>
      </c>
      <c r="K169" s="43">
        <f t="shared" si="11"/>
        <v>311133.21000000002</v>
      </c>
      <c r="L169" s="43">
        <f>SUM(L170:L177)</f>
        <v>0</v>
      </c>
      <c r="M169" s="137"/>
    </row>
    <row r="170" spans="1:13" ht="12.75" customHeight="1" x14ac:dyDescent="0.3">
      <c r="A170" s="149" t="s">
        <v>309</v>
      </c>
      <c r="B170" s="85"/>
      <c r="C170" s="85"/>
      <c r="D170" s="85"/>
      <c r="E170" s="85"/>
      <c r="F170" s="46">
        <f t="shared" si="8"/>
        <v>0</v>
      </c>
      <c r="G170" s="46">
        <f t="shared" si="9"/>
        <v>0</v>
      </c>
      <c r="H170" s="85"/>
      <c r="I170" s="85"/>
      <c r="J170" s="46">
        <f t="shared" si="10"/>
        <v>0</v>
      </c>
      <c r="K170" s="151">
        <f t="shared" si="11"/>
        <v>0</v>
      </c>
      <c r="L170" s="85"/>
      <c r="M170" s="137"/>
    </row>
    <row r="171" spans="1:13" ht="12.75" customHeight="1" x14ac:dyDescent="0.3">
      <c r="A171" s="149" t="s">
        <v>310</v>
      </c>
      <c r="B171" s="85"/>
      <c r="C171" s="85"/>
      <c r="D171" s="85"/>
      <c r="E171" s="85"/>
      <c r="F171" s="46">
        <f t="shared" si="8"/>
        <v>0</v>
      </c>
      <c r="G171" s="46">
        <f t="shared" si="9"/>
        <v>0</v>
      </c>
      <c r="H171" s="85"/>
      <c r="I171" s="85"/>
      <c r="J171" s="46">
        <f t="shared" si="10"/>
        <v>0</v>
      </c>
      <c r="K171" s="151">
        <f t="shared" si="11"/>
        <v>0</v>
      </c>
      <c r="L171" s="85"/>
      <c r="M171" s="137"/>
    </row>
    <row r="172" spans="1:13" ht="12.75" customHeight="1" x14ac:dyDescent="0.3">
      <c r="A172" s="149" t="s">
        <v>311</v>
      </c>
      <c r="B172" s="85">
        <v>220054.5</v>
      </c>
      <c r="C172" s="85">
        <v>220054.5</v>
      </c>
      <c r="D172" s="85">
        <v>3383.69</v>
      </c>
      <c r="E172" s="85">
        <v>35833.71</v>
      </c>
      <c r="F172" s="46">
        <f t="shared" si="8"/>
        <v>3.9699641123374348E-3</v>
      </c>
      <c r="G172" s="46">
        <f t="shared" si="9"/>
        <v>184220.79</v>
      </c>
      <c r="H172" s="85">
        <v>3383.69</v>
      </c>
      <c r="I172" s="85">
        <v>35833.71</v>
      </c>
      <c r="J172" s="46">
        <f t="shared" si="10"/>
        <v>0</v>
      </c>
      <c r="K172" s="151">
        <f t="shared" si="11"/>
        <v>184220.79</v>
      </c>
      <c r="L172" s="85"/>
      <c r="M172" s="137"/>
    </row>
    <row r="173" spans="1:13" ht="12.75" customHeight="1" x14ac:dyDescent="0.3">
      <c r="A173" s="149" t="s">
        <v>312</v>
      </c>
      <c r="B173" s="85"/>
      <c r="C173" s="85"/>
      <c r="D173" s="85"/>
      <c r="E173" s="85"/>
      <c r="F173" s="46">
        <f t="shared" si="8"/>
        <v>0</v>
      </c>
      <c r="G173" s="46">
        <f t="shared" si="9"/>
        <v>0</v>
      </c>
      <c r="H173" s="85"/>
      <c r="I173" s="85"/>
      <c r="J173" s="46">
        <f t="shared" si="10"/>
        <v>0</v>
      </c>
      <c r="K173" s="151">
        <f t="shared" si="11"/>
        <v>0</v>
      </c>
      <c r="L173" s="85"/>
      <c r="M173" s="137"/>
    </row>
    <row r="174" spans="1:13" ht="12.75" customHeight="1" x14ac:dyDescent="0.3">
      <c r="A174" s="149" t="s">
        <v>313</v>
      </c>
      <c r="B174" s="85"/>
      <c r="C174" s="85"/>
      <c r="D174" s="85"/>
      <c r="E174" s="85"/>
      <c r="F174" s="46">
        <f t="shared" si="8"/>
        <v>0</v>
      </c>
      <c r="G174" s="46">
        <f t="shared" si="9"/>
        <v>0</v>
      </c>
      <c r="H174" s="85"/>
      <c r="I174" s="85"/>
      <c r="J174" s="46">
        <f t="shared" si="10"/>
        <v>0</v>
      </c>
      <c r="K174" s="151">
        <f t="shared" si="11"/>
        <v>0</v>
      </c>
      <c r="L174" s="85"/>
      <c r="M174" s="137"/>
    </row>
    <row r="175" spans="1:13" ht="12.75" customHeight="1" x14ac:dyDescent="0.3">
      <c r="A175" s="149" t="s">
        <v>314</v>
      </c>
      <c r="B175" s="85">
        <v>144020.25</v>
      </c>
      <c r="C175" s="85">
        <v>144020.25</v>
      </c>
      <c r="D175" s="85">
        <v>8401.59</v>
      </c>
      <c r="E175" s="85">
        <v>17107.830000000002</v>
      </c>
      <c r="F175" s="46">
        <f t="shared" si="8"/>
        <v>1.8953513643987672E-3</v>
      </c>
      <c r="G175" s="46">
        <f t="shared" si="9"/>
        <v>126912.42</v>
      </c>
      <c r="H175" s="85">
        <v>8401.59</v>
      </c>
      <c r="I175" s="85">
        <v>17107.830000000002</v>
      </c>
      <c r="J175" s="46">
        <f t="shared" si="10"/>
        <v>0</v>
      </c>
      <c r="K175" s="151">
        <f t="shared" si="11"/>
        <v>126912.42</v>
      </c>
      <c r="L175" s="85"/>
      <c r="M175" s="137"/>
    </row>
    <row r="176" spans="1:13" ht="12.75" customHeight="1" x14ac:dyDescent="0.3">
      <c r="A176" s="149" t="s">
        <v>315</v>
      </c>
      <c r="B176" s="85"/>
      <c r="C176" s="85"/>
      <c r="D176" s="85"/>
      <c r="E176" s="85"/>
      <c r="F176" s="46">
        <f t="shared" si="8"/>
        <v>0</v>
      </c>
      <c r="G176" s="46">
        <f t="shared" si="9"/>
        <v>0</v>
      </c>
      <c r="H176" s="85"/>
      <c r="I176" s="85"/>
      <c r="J176" s="46">
        <f t="shared" si="10"/>
        <v>0</v>
      </c>
      <c r="K176" s="151">
        <f t="shared" si="11"/>
        <v>0</v>
      </c>
      <c r="L176" s="85"/>
      <c r="M176" s="137"/>
    </row>
    <row r="177" spans="1:13" ht="12.75" customHeight="1" x14ac:dyDescent="0.3">
      <c r="A177" s="149" t="s">
        <v>181</v>
      </c>
      <c r="B177" s="85"/>
      <c r="C177" s="85"/>
      <c r="D177" s="85"/>
      <c r="E177" s="85"/>
      <c r="F177" s="46">
        <f t="shared" si="8"/>
        <v>0</v>
      </c>
      <c r="G177" s="46">
        <f t="shared" si="9"/>
        <v>0</v>
      </c>
      <c r="H177" s="85"/>
      <c r="I177" s="85">
        <v>0</v>
      </c>
      <c r="J177" s="46">
        <f t="shared" si="10"/>
        <v>0</v>
      </c>
      <c r="K177" s="151">
        <f t="shared" si="11"/>
        <v>0</v>
      </c>
      <c r="L177" s="85"/>
      <c r="M177" s="137"/>
    </row>
    <row r="178" spans="1:13" ht="12.75" customHeight="1" x14ac:dyDescent="0.3">
      <c r="A178" s="148" t="s">
        <v>143</v>
      </c>
      <c r="B178" s="152">
        <v>375061</v>
      </c>
      <c r="C178" s="152">
        <v>375061</v>
      </c>
      <c r="D178" s="153"/>
      <c r="E178" s="153"/>
      <c r="F178" s="153"/>
      <c r="G178" s="154">
        <f t="shared" si="9"/>
        <v>375061</v>
      </c>
      <c r="H178" s="153"/>
      <c r="I178" s="153"/>
      <c r="J178" s="153"/>
      <c r="K178" s="154">
        <f t="shared" si="11"/>
        <v>375061</v>
      </c>
      <c r="L178" s="153"/>
      <c r="M178" s="155"/>
    </row>
    <row r="179" spans="1:13" ht="12.75" customHeight="1" x14ac:dyDescent="0.3">
      <c r="A179" s="148" t="s">
        <v>154</v>
      </c>
      <c r="B179" s="156"/>
      <c r="C179" s="156"/>
      <c r="D179" s="153"/>
      <c r="E179" s="153"/>
      <c r="F179" s="153"/>
      <c r="G179" s="154">
        <f t="shared" si="9"/>
        <v>0</v>
      </c>
      <c r="H179" s="153"/>
      <c r="I179" s="153"/>
      <c r="J179" s="153"/>
      <c r="K179" s="154">
        <f t="shared" si="11"/>
        <v>0</v>
      </c>
      <c r="L179" s="153"/>
      <c r="M179" s="137"/>
    </row>
    <row r="180" spans="1:13" ht="12.75" customHeight="1" x14ac:dyDescent="0.3">
      <c r="A180" s="157" t="s">
        <v>316</v>
      </c>
      <c r="B180" s="158"/>
      <c r="C180" s="158"/>
      <c r="D180" s="158"/>
      <c r="E180" s="158"/>
      <c r="F180" s="40">
        <f>IF(E$181="",0,IF(E$181=0,0,E180/E$181))</f>
        <v>0</v>
      </c>
      <c r="G180" s="40">
        <f t="shared" si="9"/>
        <v>0</v>
      </c>
      <c r="H180" s="159"/>
      <c r="I180" s="159"/>
      <c r="J180" s="40">
        <f>IF(I347="",0,IF(I347=0,0,I180/I$181))</f>
        <v>0</v>
      </c>
      <c r="K180" s="160">
        <f t="shared" si="11"/>
        <v>0</v>
      </c>
      <c r="L180" s="158"/>
      <c r="M180" s="137"/>
    </row>
    <row r="181" spans="1:13" ht="12.75" customHeight="1" x14ac:dyDescent="0.3">
      <c r="A181" s="161" t="s">
        <v>317</v>
      </c>
      <c r="B181" s="162">
        <f t="shared" ref="B181:L181" si="12">+B180+B13</f>
        <v>36977489.439999998</v>
      </c>
      <c r="C181" s="162">
        <f t="shared" si="12"/>
        <v>38372530.899999999</v>
      </c>
      <c r="D181" s="162">
        <f t="shared" si="12"/>
        <v>4060145.6500000004</v>
      </c>
      <c r="E181" s="162">
        <f t="shared" si="12"/>
        <v>9026205.0199999996</v>
      </c>
      <c r="F181" s="162">
        <f t="shared" si="12"/>
        <v>1</v>
      </c>
      <c r="G181" s="162">
        <f t="shared" si="12"/>
        <v>29346325.879999999</v>
      </c>
      <c r="H181" s="162">
        <f t="shared" si="12"/>
        <v>3741861.81</v>
      </c>
      <c r="I181" s="162">
        <f t="shared" si="12"/>
        <v>6714388.2699999996</v>
      </c>
      <c r="J181" s="162">
        <f t="shared" si="12"/>
        <v>1</v>
      </c>
      <c r="K181" s="162">
        <f t="shared" si="12"/>
        <v>31658142.629999999</v>
      </c>
      <c r="L181" s="162">
        <f t="shared" si="12"/>
        <v>0</v>
      </c>
      <c r="M181" s="163"/>
    </row>
    <row r="182" spans="1:13" ht="11.25" customHeight="1" x14ac:dyDescent="0.3">
      <c r="A182" s="792" t="s">
        <v>155</v>
      </c>
      <c r="B182" s="792"/>
      <c r="C182" s="792"/>
      <c r="D182" s="792"/>
      <c r="E182" s="792"/>
      <c r="F182" s="792"/>
      <c r="G182" s="792"/>
      <c r="H182" s="792"/>
      <c r="I182" s="792"/>
      <c r="J182" s="792"/>
      <c r="K182" s="792"/>
    </row>
    <row r="183" spans="1:13" ht="11.25" customHeight="1" x14ac:dyDescent="0.3">
      <c r="A183" s="785" t="s">
        <v>318</v>
      </c>
      <c r="B183" s="785"/>
      <c r="C183" s="785"/>
    </row>
  </sheetData>
  <sheetProtection password="F3F6" sheet="1"/>
  <mergeCells count="17">
    <mergeCell ref="H11:H12"/>
    <mergeCell ref="A3:L3"/>
    <mergeCell ref="A4:L4"/>
    <mergeCell ref="A5:L5"/>
    <mergeCell ref="A6:L6"/>
    <mergeCell ref="A7:L7"/>
    <mergeCell ref="A8:L8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opLeftCell="B19" zoomScale="80" zoomScaleNormal="80" workbookViewId="0">
      <selection activeCell="L25" sqref="L25"/>
    </sheetView>
  </sheetViews>
  <sheetFormatPr defaultColWidth="4.1796875" defaultRowHeight="11.25" customHeight="1" x14ac:dyDescent="0.3"/>
  <cols>
    <col min="1" max="1" width="44.7265625" style="136" customWidth="1"/>
    <col min="2" max="7" width="17.81640625" style="136" customWidth="1"/>
    <col min="8" max="8" width="17.81640625" style="24" customWidth="1"/>
    <col min="9" max="12" width="17.81640625" style="136" customWidth="1"/>
    <col min="13" max="13" width="17.7265625" style="136" customWidth="1"/>
    <col min="14" max="14" width="19" style="136" customWidth="1"/>
    <col min="15" max="15" width="17.81640625" style="136" customWidth="1"/>
    <col min="16" max="16384" width="4.1796875" style="136"/>
  </cols>
  <sheetData>
    <row r="1" spans="1:21" ht="11.25" customHeight="1" x14ac:dyDescent="0.3">
      <c r="A1" s="28" t="s">
        <v>319</v>
      </c>
      <c r="Q1" s="164"/>
      <c r="R1" s="165" t="s">
        <v>5</v>
      </c>
      <c r="S1" s="164" t="s">
        <v>320</v>
      </c>
      <c r="T1" s="164" t="s">
        <v>321</v>
      </c>
      <c r="U1" s="164" t="s">
        <v>322</v>
      </c>
    </row>
    <row r="2" spans="1:21" ht="11.25" customHeight="1" x14ac:dyDescent="0.3">
      <c r="A2" s="28"/>
      <c r="Q2" s="164"/>
      <c r="R2" s="165" t="s">
        <v>4</v>
      </c>
      <c r="S2" s="164" t="s">
        <v>323</v>
      </c>
      <c r="T2" s="164" t="s">
        <v>324</v>
      </c>
      <c r="U2" s="164" t="s">
        <v>320</v>
      </c>
    </row>
    <row r="3" spans="1:21" ht="11.25" customHeight="1" x14ac:dyDescent="0.3">
      <c r="A3" s="801" t="str">
        <f>+'Informações Iniciais'!A1</f>
        <v>ESTADO DO MARANHÃO - PREFEITURA MUNICIPAL DE DAVINOPOLIS</v>
      </c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Q3" s="164"/>
      <c r="R3" s="165" t="s">
        <v>7</v>
      </c>
      <c r="S3" s="164" t="s">
        <v>325</v>
      </c>
      <c r="T3" s="164" t="s">
        <v>326</v>
      </c>
      <c r="U3" s="164" t="s">
        <v>323</v>
      </c>
    </row>
    <row r="4" spans="1:21" ht="11.25" customHeight="1" x14ac:dyDescent="0.3">
      <c r="A4" s="802" t="s">
        <v>1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Q4" s="164"/>
      <c r="R4" s="165" t="s">
        <v>9</v>
      </c>
      <c r="S4" s="164" t="s">
        <v>327</v>
      </c>
      <c r="T4" s="164" t="s">
        <v>328</v>
      </c>
      <c r="U4" s="164" t="s">
        <v>325</v>
      </c>
    </row>
    <row r="5" spans="1:21" ht="11.25" customHeight="1" x14ac:dyDescent="0.3">
      <c r="A5" s="803" t="s">
        <v>329</v>
      </c>
      <c r="B5" s="803"/>
      <c r="C5" s="803"/>
      <c r="D5" s="803"/>
      <c r="E5" s="803"/>
      <c r="F5" s="803"/>
      <c r="G5" s="803"/>
      <c r="H5" s="803"/>
      <c r="I5" s="803"/>
      <c r="J5" s="803"/>
      <c r="K5" s="803"/>
      <c r="L5" s="803"/>
      <c r="M5" s="803"/>
      <c r="N5" s="803"/>
      <c r="O5" s="803"/>
      <c r="Q5" s="164"/>
      <c r="R5" s="165" t="s">
        <v>11</v>
      </c>
      <c r="S5" s="164" t="s">
        <v>330</v>
      </c>
      <c r="T5" s="164" t="s">
        <v>331</v>
      </c>
      <c r="U5" s="164" t="s">
        <v>327</v>
      </c>
    </row>
    <row r="6" spans="1:21" ht="11.25" customHeight="1" x14ac:dyDescent="0.3">
      <c r="A6" s="804" t="s">
        <v>30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Q6" s="164"/>
      <c r="R6" s="165" t="s">
        <v>13</v>
      </c>
      <c r="S6" s="164" t="s">
        <v>322</v>
      </c>
      <c r="T6" s="164" t="s">
        <v>332</v>
      </c>
      <c r="U6" s="164" t="s">
        <v>330</v>
      </c>
    </row>
    <row r="7" spans="1:21" ht="11.25" customHeight="1" x14ac:dyDescent="0.3">
      <c r="A7" s="801" t="str">
        <f>+'Informações Iniciais'!A5</f>
        <v>2º Bimestre de 2017</v>
      </c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</row>
    <row r="8" spans="1:21" ht="11.25" customHeight="1" x14ac:dyDescent="0.3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21" ht="11.25" customHeight="1" x14ac:dyDescent="0.3">
      <c r="A9" s="136" t="s">
        <v>333</v>
      </c>
      <c r="H9" s="167"/>
      <c r="O9" s="139" t="s">
        <v>32</v>
      </c>
    </row>
    <row r="10" spans="1:21" ht="15" customHeight="1" x14ac:dyDescent="0.3">
      <c r="A10" s="815" t="s">
        <v>334</v>
      </c>
      <c r="B10" s="816" t="s">
        <v>335</v>
      </c>
      <c r="C10" s="816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817" t="s">
        <v>336</v>
      </c>
      <c r="O10" s="818" t="s">
        <v>35</v>
      </c>
    </row>
    <row r="11" spans="1:21" ht="15" customHeight="1" x14ac:dyDescent="0.3">
      <c r="A11" s="815"/>
      <c r="B11" s="816"/>
      <c r="C11" s="816"/>
      <c r="D11" s="816"/>
      <c r="E11" s="816"/>
      <c r="F11" s="816"/>
      <c r="G11" s="816"/>
      <c r="H11" s="816"/>
      <c r="I11" s="816"/>
      <c r="J11" s="816"/>
      <c r="K11" s="816"/>
      <c r="L11" s="816"/>
      <c r="M11" s="816"/>
      <c r="N11" s="817"/>
      <c r="O11" s="818"/>
    </row>
    <row r="12" spans="1:21" ht="15" customHeight="1" x14ac:dyDescent="0.3">
      <c r="A12" s="815"/>
      <c r="B12" s="168" t="str">
        <f>IF(C12=$S1,$T1,IF(C12=$S2,$T2,IF(C12=$S3,$T3,IF(C12=$S4,$T4,IF(C12=$S5,$T5,IF(C12=$S6,$T6,"&lt;MR-1&gt;"))))))</f>
        <v>Mai</v>
      </c>
      <c r="C12" s="168" t="str">
        <f>IF(D12=$T1,$U1,IF(D12=$T2,$U2,IF(D12=$T3,$U3,IF(D12=$T4,$U4,IF(D12=$T5,$U5,IF(D12=$T6,$U6,"&lt;MR-2&gt;"))))))</f>
        <v>Jun</v>
      </c>
      <c r="D12" s="168" t="str">
        <f>IF(E12=$S1,$T1,IF(E12=$S2,$T2,IF(E12=$S3,$T3,IF(E12=$S4,$T4,IF(E12=$S5,$T5,IF(E12=$S6,$T6,"&lt;MR-1&gt;"))))))</f>
        <v>Jul</v>
      </c>
      <c r="E12" s="168" t="str">
        <f>IF(F12=$T1,$U1,IF(F12=$T2,$U2,IF(F12=$T3,$U3,IF(F12=$T4,$U4,IF(F12=$T5,$U5,IF(F12=$T6,$U6,"&lt;MR-2&gt;"))))))</f>
        <v>Ago</v>
      </c>
      <c r="F12" s="168" t="str">
        <f>IF(G12=$S1,$T1,IF(G12=$S2,$T2,IF(G12=$S3,$T3,IF(G12=$S4,$T4,IF(G12=$S5,$T5,IF(G12=$S6,$T6,"&lt;MR-1&gt;"))))))</f>
        <v>Set</v>
      </c>
      <c r="G12" s="168" t="str">
        <f>IF(H12=$T1,$U1,IF(H12=$T2,$U2,IF(H12=$T3,$U3,IF(H12=$T4,$U4,IF(H12=$T5,$U5,IF(H12=$T6,$U6,"&lt;MR-2&gt;"))))))</f>
        <v>Out</v>
      </c>
      <c r="H12" s="168" t="str">
        <f>IF(I12=$S1,$T1,IF(I12=$S2,$T2,IF(I12=$S3,$T3,IF(I12=$S4,$T4,IF(I12=$S5,$T5,IF(I12=$S6,$T6,"&lt;MR-1&gt;"))))))</f>
        <v>Nov</v>
      </c>
      <c r="I12" s="168" t="str">
        <f>IF(J12=$T1,$U1,IF(J12=$T2,$U2,IF(J12=$T3,$U3,IF(J12=$T4,$U4,IF(J12=$T5,$U5,IF(J12=$T6,$U6,"&lt;MR-2&gt;"))))))</f>
        <v>Dez</v>
      </c>
      <c r="J12" s="168" t="str">
        <f>IF(K12=$S1,$T1,IF(K12=$S2,$T2,IF(K12=$S3,$T3,IF(K12=$S4,$T4,IF(K12=$S5,$T5,IF(K12=$S6,$T6,"&lt;MR-1&gt;"))))))</f>
        <v>Jan</v>
      </c>
      <c r="K12" s="168" t="str">
        <f>IF(L12=$T1,$U1,IF(L12=$T2,$U2,IF(L12=$T3,$U3,IF(L12=$T4,$U4,IF(L12=$T5,$U5,IF(L12=$T6,$U6,"&lt;MR-2&gt;"))))))</f>
        <v>Fev</v>
      </c>
      <c r="L12" s="168" t="str">
        <f>IF(M12=$S1,$T1,IF(M12=$S2,$T2,IF(M12=$S3,$T3,IF(M12=$S4,$T4,IF(M12=$S5,$T5,IF(M12=$S6,$T6,"&lt;MR-1&gt;"))))))</f>
        <v>Mar</v>
      </c>
      <c r="M12" s="168" t="str">
        <f>IF(A7=R1,S1,IF(A7=R2,S2,IF(A7=R3,S3,IF(A7=R4,S4,IF(A7=R5,S5,IF(A7=R6,S6,"MR"))))))</f>
        <v>Abr</v>
      </c>
      <c r="N12" s="817"/>
      <c r="O12" s="144" t="str">
        <f>RIGHT(R1,4)</f>
        <v>2017</v>
      </c>
    </row>
    <row r="13" spans="1:21" s="135" customFormat="1" ht="12.75" customHeight="1" x14ac:dyDescent="0.3">
      <c r="A13" s="169" t="s">
        <v>337</v>
      </c>
      <c r="B13" s="170">
        <f t="shared" ref="B13:M13" si="0">+B14+B20+B21+B22+B23+B24+B25+B34</f>
        <v>1982075.0299999998</v>
      </c>
      <c r="C13" s="170">
        <f t="shared" si="0"/>
        <v>2343117.2000000002</v>
      </c>
      <c r="D13" s="170">
        <f t="shared" si="0"/>
        <v>2005285.46</v>
      </c>
      <c r="E13" s="170">
        <f t="shared" si="0"/>
        <v>1776272.6</v>
      </c>
      <c r="F13" s="170">
        <f t="shared" si="0"/>
        <v>1650364.4899999998</v>
      </c>
      <c r="G13" s="170">
        <f t="shared" si="0"/>
        <v>1497612.26</v>
      </c>
      <c r="H13" s="170">
        <f t="shared" si="0"/>
        <v>2810767.8999999994</v>
      </c>
      <c r="I13" s="170">
        <f t="shared" si="0"/>
        <v>3774435.32</v>
      </c>
      <c r="J13" s="170">
        <f t="shared" si="0"/>
        <v>1634876.09</v>
      </c>
      <c r="K13" s="170">
        <f t="shared" si="0"/>
        <v>3322460.01</v>
      </c>
      <c r="L13" s="170">
        <f t="shared" si="0"/>
        <v>1922231.4000000001</v>
      </c>
      <c r="M13" s="170">
        <f t="shared" si="0"/>
        <v>1964613.9700000002</v>
      </c>
      <c r="N13" s="170">
        <f t="shared" ref="N13:N39" si="1">SUM(B13:M13)</f>
        <v>26684111.729999997</v>
      </c>
      <c r="O13" s="170">
        <f>+O14+O20+O21+O22+O23+O24+O25+O34</f>
        <v>0</v>
      </c>
    </row>
    <row r="14" spans="1:21" ht="12.75" customHeight="1" x14ac:dyDescent="0.3">
      <c r="A14" s="41" t="s">
        <v>338</v>
      </c>
      <c r="B14" s="87">
        <f t="shared" ref="B14:M14" si="2">SUM(B15:B19)</f>
        <v>46775.3</v>
      </c>
      <c r="C14" s="87">
        <f t="shared" si="2"/>
        <v>78547.83</v>
      </c>
      <c r="D14" s="87">
        <f t="shared" si="2"/>
        <v>114858.49</v>
      </c>
      <c r="E14" s="87">
        <f t="shared" si="2"/>
        <v>109659.3</v>
      </c>
      <c r="F14" s="87">
        <f t="shared" si="2"/>
        <v>51701.71</v>
      </c>
      <c r="G14" s="87">
        <f t="shared" si="2"/>
        <v>20357.53</v>
      </c>
      <c r="H14" s="87">
        <f t="shared" si="2"/>
        <v>15922.14</v>
      </c>
      <c r="I14" s="87">
        <f t="shared" si="2"/>
        <v>16853.5</v>
      </c>
      <c r="J14" s="87">
        <f t="shared" si="2"/>
        <v>124464.96000000001</v>
      </c>
      <c r="K14" s="87">
        <f t="shared" si="2"/>
        <v>28321.96</v>
      </c>
      <c r="L14" s="87">
        <f t="shared" si="2"/>
        <v>94165.41</v>
      </c>
      <c r="M14" s="87">
        <f t="shared" si="2"/>
        <v>88891.159999999989</v>
      </c>
      <c r="N14" s="87">
        <f t="shared" si="1"/>
        <v>790519.29</v>
      </c>
      <c r="O14" s="87">
        <f>SUM(O15:O19)</f>
        <v>0</v>
      </c>
    </row>
    <row r="15" spans="1:21" ht="12.75" customHeight="1" x14ac:dyDescent="0.3">
      <c r="A15" s="44" t="s">
        <v>339</v>
      </c>
      <c r="B15" s="171">
        <v>0</v>
      </c>
      <c r="C15" s="171">
        <v>0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109.01</v>
      </c>
      <c r="J15" s="171">
        <v>0</v>
      </c>
      <c r="K15" s="171">
        <v>0</v>
      </c>
      <c r="L15" s="171">
        <v>0</v>
      </c>
      <c r="M15" s="171"/>
      <c r="N15" s="151">
        <f t="shared" si="1"/>
        <v>109.01</v>
      </c>
      <c r="O15" s="171">
        <v>0</v>
      </c>
    </row>
    <row r="16" spans="1:21" ht="12.75" customHeight="1" x14ac:dyDescent="0.3">
      <c r="A16" s="44" t="s">
        <v>340</v>
      </c>
      <c r="B16" s="171">
        <v>28280.78</v>
      </c>
      <c r="C16" s="171">
        <v>57293.61</v>
      </c>
      <c r="D16" s="171">
        <v>99421.27</v>
      </c>
      <c r="E16" s="171">
        <v>97145.2</v>
      </c>
      <c r="F16" s="171">
        <v>41957.85</v>
      </c>
      <c r="G16" s="171">
        <v>20357.53</v>
      </c>
      <c r="H16" s="171">
        <v>15922.14</v>
      </c>
      <c r="I16" s="171">
        <v>16744.490000000002</v>
      </c>
      <c r="J16" s="171">
        <v>124464.96000000001</v>
      </c>
      <c r="K16" s="171">
        <v>28321.96</v>
      </c>
      <c r="L16" s="171">
        <v>67092.61</v>
      </c>
      <c r="M16" s="171">
        <v>77338.509999999995</v>
      </c>
      <c r="N16" s="151">
        <f t="shared" si="1"/>
        <v>674340.91</v>
      </c>
      <c r="O16" s="171"/>
    </row>
    <row r="17" spans="1:15" ht="12.75" customHeight="1" x14ac:dyDescent="0.3">
      <c r="A17" s="44" t="s">
        <v>341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>
        <v>12529.41</v>
      </c>
      <c r="M17" s="171"/>
      <c r="N17" s="151">
        <f t="shared" si="1"/>
        <v>12529.41</v>
      </c>
      <c r="O17" s="171"/>
    </row>
    <row r="18" spans="1:15" ht="12.75" customHeight="1" x14ac:dyDescent="0.3">
      <c r="A18" s="44" t="s">
        <v>342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51">
        <f t="shared" si="1"/>
        <v>0</v>
      </c>
      <c r="O18" s="171"/>
    </row>
    <row r="19" spans="1:15" ht="12.75" customHeight="1" x14ac:dyDescent="0.3">
      <c r="A19" s="44" t="s">
        <v>343</v>
      </c>
      <c r="B19" s="171">
        <v>18494.52</v>
      </c>
      <c r="C19" s="171">
        <v>21254.22</v>
      </c>
      <c r="D19" s="171">
        <v>15437.22</v>
      </c>
      <c r="E19" s="171">
        <v>12514.1</v>
      </c>
      <c r="F19" s="171">
        <v>9743.86</v>
      </c>
      <c r="G19" s="171">
        <v>0</v>
      </c>
      <c r="H19" s="171"/>
      <c r="I19" s="171"/>
      <c r="J19" s="171"/>
      <c r="K19" s="171"/>
      <c r="L19" s="171">
        <v>14543.39</v>
      </c>
      <c r="M19" s="171">
        <v>11552.65</v>
      </c>
      <c r="N19" s="151">
        <f t="shared" si="1"/>
        <v>103539.96</v>
      </c>
      <c r="O19" s="171"/>
    </row>
    <row r="20" spans="1:15" ht="12.75" customHeight="1" x14ac:dyDescent="0.3">
      <c r="A20" s="41" t="s">
        <v>344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87">
        <f t="shared" si="1"/>
        <v>0</v>
      </c>
      <c r="O20" s="171"/>
    </row>
    <row r="21" spans="1:15" ht="12.75" customHeight="1" x14ac:dyDescent="0.3">
      <c r="A21" s="41" t="s">
        <v>345</v>
      </c>
      <c r="B21" s="171">
        <v>10578.33</v>
      </c>
      <c r="C21" s="171">
        <v>10979.85</v>
      </c>
      <c r="D21" s="171">
        <v>10346.59</v>
      </c>
      <c r="E21" s="171">
        <v>9485.91</v>
      </c>
      <c r="F21" s="171">
        <v>5525.98</v>
      </c>
      <c r="G21" s="171">
        <v>6585.33</v>
      </c>
      <c r="H21" s="171">
        <v>3017.95</v>
      </c>
      <c r="I21" s="171">
        <v>4145.3100000000004</v>
      </c>
      <c r="J21" s="171">
        <v>5121.4799999999996</v>
      </c>
      <c r="K21" s="171">
        <v>8571.07</v>
      </c>
      <c r="L21" s="171">
        <v>8257.3700000000008</v>
      </c>
      <c r="M21" s="171">
        <v>3426.16</v>
      </c>
      <c r="N21" s="87">
        <f t="shared" si="1"/>
        <v>86041.329999999987</v>
      </c>
      <c r="O21" s="171"/>
    </row>
    <row r="22" spans="1:15" ht="12.75" customHeight="1" x14ac:dyDescent="0.3">
      <c r="A22" s="41" t="s">
        <v>346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87">
        <f t="shared" si="1"/>
        <v>0</v>
      </c>
      <c r="O22" s="171"/>
    </row>
    <row r="23" spans="1:15" ht="12.75" customHeight="1" x14ac:dyDescent="0.3">
      <c r="A23" s="41" t="s">
        <v>347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87">
        <f t="shared" si="1"/>
        <v>0</v>
      </c>
      <c r="O23" s="171"/>
    </row>
    <row r="24" spans="1:15" ht="12.75" customHeight="1" x14ac:dyDescent="0.3">
      <c r="A24" s="41" t="s">
        <v>348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>
        <v>1054.08</v>
      </c>
      <c r="M24" s="171"/>
      <c r="N24" s="87">
        <f t="shared" si="1"/>
        <v>1054.08</v>
      </c>
      <c r="O24" s="171"/>
    </row>
    <row r="25" spans="1:15" ht="12.75" customHeight="1" x14ac:dyDescent="0.3">
      <c r="A25" s="41" t="s">
        <v>349</v>
      </c>
      <c r="B25" s="87">
        <f t="shared" ref="B25:M25" si="3">SUM(B26:B33)</f>
        <v>1924721.4</v>
      </c>
      <c r="C25" s="87">
        <f t="shared" si="3"/>
        <v>2253589.52</v>
      </c>
      <c r="D25" s="87">
        <f t="shared" si="3"/>
        <v>1880080.38</v>
      </c>
      <c r="E25" s="87">
        <f t="shared" si="3"/>
        <v>1657127.3900000001</v>
      </c>
      <c r="F25" s="87">
        <f t="shared" si="3"/>
        <v>1593136.7999999998</v>
      </c>
      <c r="G25" s="87">
        <f t="shared" si="3"/>
        <v>1470669.4</v>
      </c>
      <c r="H25" s="87">
        <f t="shared" si="3"/>
        <v>2791827.8099999996</v>
      </c>
      <c r="I25" s="87">
        <f t="shared" si="3"/>
        <v>3753436.51</v>
      </c>
      <c r="J25" s="87">
        <f t="shared" si="3"/>
        <v>1505289.6500000001</v>
      </c>
      <c r="K25" s="87">
        <f t="shared" si="3"/>
        <v>3285566.98</v>
      </c>
      <c r="L25" s="87">
        <f t="shared" si="3"/>
        <v>1818754.54</v>
      </c>
      <c r="M25" s="87">
        <f t="shared" si="3"/>
        <v>1872296.6500000001</v>
      </c>
      <c r="N25" s="87">
        <f t="shared" si="1"/>
        <v>25806497.029999997</v>
      </c>
      <c r="O25" s="87">
        <f>SUM(O26:O33)</f>
        <v>0</v>
      </c>
    </row>
    <row r="26" spans="1:15" ht="12.75" customHeight="1" x14ac:dyDescent="0.3">
      <c r="A26" s="44" t="s">
        <v>350</v>
      </c>
      <c r="B26" s="171">
        <v>852315.2</v>
      </c>
      <c r="C26" s="171">
        <v>704150.45</v>
      </c>
      <c r="D26" s="171">
        <v>780809.35</v>
      </c>
      <c r="E26" s="171">
        <v>633112.25</v>
      </c>
      <c r="F26" s="171">
        <v>514846.74</v>
      </c>
      <c r="G26" s="171">
        <v>262083.75</v>
      </c>
      <c r="H26" s="171">
        <v>1503134.92</v>
      </c>
      <c r="I26" s="171">
        <v>1782485.69</v>
      </c>
      <c r="J26" s="171">
        <v>757749.97</v>
      </c>
      <c r="K26" s="171">
        <v>971415.09</v>
      </c>
      <c r="L26" s="171">
        <v>608656.15</v>
      </c>
      <c r="M26" s="171">
        <v>733321.05</v>
      </c>
      <c r="N26" s="151">
        <f t="shared" si="1"/>
        <v>10104080.610000001</v>
      </c>
      <c r="O26" s="171"/>
    </row>
    <row r="27" spans="1:15" ht="12.75" customHeight="1" x14ac:dyDescent="0.3">
      <c r="A27" s="44" t="s">
        <v>351</v>
      </c>
      <c r="B27" s="171">
        <v>136892.16</v>
      </c>
      <c r="C27" s="171">
        <v>168260.34</v>
      </c>
      <c r="D27" s="171">
        <v>164934.28</v>
      </c>
      <c r="E27" s="171">
        <v>140267.67000000001</v>
      </c>
      <c r="F27" s="171">
        <v>171336.06</v>
      </c>
      <c r="G27" s="171">
        <v>162083.32</v>
      </c>
      <c r="H27" s="171">
        <v>176683.66</v>
      </c>
      <c r="I27" s="171">
        <v>176956.09</v>
      </c>
      <c r="J27" s="171">
        <v>153675.51</v>
      </c>
      <c r="K27" s="171">
        <v>140988.60999999999</v>
      </c>
      <c r="L27" s="171">
        <v>165956.96</v>
      </c>
      <c r="M27" s="171">
        <v>127721.91</v>
      </c>
      <c r="N27" s="151">
        <f t="shared" si="1"/>
        <v>1885756.57</v>
      </c>
      <c r="O27" s="171"/>
    </row>
    <row r="28" spans="1:15" ht="12.75" customHeight="1" x14ac:dyDescent="0.3">
      <c r="A28" s="44" t="s">
        <v>352</v>
      </c>
      <c r="B28" s="171">
        <v>26943.33</v>
      </c>
      <c r="C28" s="171">
        <v>14937.4</v>
      </c>
      <c r="D28" s="171">
        <v>10435.18</v>
      </c>
      <c r="E28" s="171">
        <v>7645.89</v>
      </c>
      <c r="F28" s="171">
        <v>2353.98</v>
      </c>
      <c r="G28" s="171">
        <v>7926.73</v>
      </c>
      <c r="H28" s="171">
        <v>2637.19</v>
      </c>
      <c r="I28" s="171">
        <v>3271.69</v>
      </c>
      <c r="J28" s="171">
        <v>32494.65</v>
      </c>
      <c r="K28" s="171">
        <v>23868.26</v>
      </c>
      <c r="L28" s="171">
        <v>26621.759999999998</v>
      </c>
      <c r="M28" s="171">
        <v>27670.83</v>
      </c>
      <c r="N28" s="151">
        <f t="shared" si="1"/>
        <v>186806.89</v>
      </c>
      <c r="O28" s="171"/>
    </row>
    <row r="29" spans="1:15" ht="12.75" customHeight="1" x14ac:dyDescent="0.3">
      <c r="A29" s="44" t="s">
        <v>353</v>
      </c>
      <c r="B29" s="171"/>
      <c r="C29" s="171">
        <v>39.799999999999997</v>
      </c>
      <c r="D29" s="171"/>
      <c r="E29" s="171">
        <v>13.68</v>
      </c>
      <c r="F29" s="171">
        <v>88.63</v>
      </c>
      <c r="G29" s="171">
        <v>1200.71</v>
      </c>
      <c r="H29" s="171">
        <v>35.159999999999997</v>
      </c>
      <c r="I29" s="171">
        <v>123.1</v>
      </c>
      <c r="J29" s="171"/>
      <c r="K29" s="171"/>
      <c r="L29" s="171">
        <v>893.87</v>
      </c>
      <c r="M29" s="171">
        <v>140.72999999999999</v>
      </c>
      <c r="N29" s="151">
        <f t="shared" si="1"/>
        <v>2535.6799999999998</v>
      </c>
      <c r="O29" s="171"/>
    </row>
    <row r="30" spans="1:15" ht="12.75" customHeight="1" x14ac:dyDescent="0.3">
      <c r="A30" s="44" t="s">
        <v>354</v>
      </c>
      <c r="B30" s="171">
        <v>908.69</v>
      </c>
      <c r="C30" s="171">
        <v>908.69</v>
      </c>
      <c r="D30" s="171">
        <v>908.69</v>
      </c>
      <c r="E30" s="171">
        <v>908.69</v>
      </c>
      <c r="F30" s="171">
        <v>908.69</v>
      </c>
      <c r="G30" s="171">
        <v>908.69</v>
      </c>
      <c r="H30" s="171">
        <v>908.69</v>
      </c>
      <c r="I30" s="171">
        <v>908.69</v>
      </c>
      <c r="J30" s="171">
        <v>1672.3</v>
      </c>
      <c r="K30" s="171">
        <v>1672.3</v>
      </c>
      <c r="L30" s="171">
        <v>1672.3</v>
      </c>
      <c r="M30" s="171">
        <v>1672.3</v>
      </c>
      <c r="N30" s="151">
        <f t="shared" si="1"/>
        <v>13958.72</v>
      </c>
      <c r="O30" s="171"/>
    </row>
    <row r="31" spans="1:15" ht="12.75" customHeight="1" x14ac:dyDescent="0.3">
      <c r="A31" s="44" t="s">
        <v>355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51">
        <f t="shared" si="1"/>
        <v>0</v>
      </c>
      <c r="O31" s="171"/>
    </row>
    <row r="32" spans="1:15" ht="12.75" customHeight="1" x14ac:dyDescent="0.3">
      <c r="A32" s="44" t="s">
        <v>356</v>
      </c>
      <c r="B32" s="171">
        <v>449404.62</v>
      </c>
      <c r="C32" s="171">
        <v>421717.73</v>
      </c>
      <c r="D32" s="171">
        <v>350476.18</v>
      </c>
      <c r="E32" s="171">
        <v>366743.67</v>
      </c>
      <c r="F32" s="171">
        <v>353434.84</v>
      </c>
      <c r="G32" s="171">
        <v>383862.94</v>
      </c>
      <c r="H32" s="171">
        <v>576162.12</v>
      </c>
      <c r="I32" s="171">
        <v>672675.85</v>
      </c>
      <c r="J32" s="171">
        <v>449918.87</v>
      </c>
      <c r="K32" s="171">
        <v>598898.77</v>
      </c>
      <c r="L32" s="171">
        <v>420189.28</v>
      </c>
      <c r="M32" s="171">
        <v>456821.86</v>
      </c>
      <c r="N32" s="151">
        <f t="shared" si="1"/>
        <v>5500306.7300000004</v>
      </c>
      <c r="O32" s="171"/>
    </row>
    <row r="33" spans="1:15" ht="12.75" customHeight="1" x14ac:dyDescent="0.3">
      <c r="A33" s="44" t="s">
        <v>357</v>
      </c>
      <c r="B33" s="171">
        <v>458257.4</v>
      </c>
      <c r="C33" s="171">
        <v>943575.11</v>
      </c>
      <c r="D33" s="171">
        <v>572516.69999999995</v>
      </c>
      <c r="E33" s="171">
        <v>508435.54</v>
      </c>
      <c r="F33" s="171">
        <v>550167.86</v>
      </c>
      <c r="G33" s="171">
        <v>652603.26</v>
      </c>
      <c r="H33" s="171">
        <v>532266.06999999995</v>
      </c>
      <c r="I33" s="171">
        <v>1117015.3999999999</v>
      </c>
      <c r="J33" s="171">
        <v>109778.35</v>
      </c>
      <c r="K33" s="171">
        <v>1548723.95</v>
      </c>
      <c r="L33" s="171">
        <v>594764.22</v>
      </c>
      <c r="M33" s="171">
        <v>524947.97</v>
      </c>
      <c r="N33" s="151">
        <f t="shared" si="1"/>
        <v>8113051.8299999991</v>
      </c>
      <c r="O33" s="171"/>
    </row>
    <row r="34" spans="1:15" ht="12.75" customHeight="1" x14ac:dyDescent="0.3">
      <c r="A34" s="41" t="s">
        <v>358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87">
        <f t="shared" si="1"/>
        <v>0</v>
      </c>
      <c r="O34" s="171"/>
    </row>
    <row r="35" spans="1:15" ht="12.75" customHeight="1" x14ac:dyDescent="0.3">
      <c r="A35" s="172" t="s">
        <v>359</v>
      </c>
      <c r="B35" s="160">
        <f t="shared" ref="B35:M35" si="4">SUM(B36:B38)</f>
        <v>198023.17</v>
      </c>
      <c r="C35" s="160">
        <f t="shared" si="4"/>
        <v>174671.8</v>
      </c>
      <c r="D35" s="160">
        <f t="shared" si="4"/>
        <v>135271.99</v>
      </c>
      <c r="E35" s="160">
        <f t="shared" si="4"/>
        <v>154860.39000000001</v>
      </c>
      <c r="F35" s="160">
        <f t="shared" si="4"/>
        <v>137435.97</v>
      </c>
      <c r="G35" s="160">
        <f t="shared" si="4"/>
        <v>85255.24</v>
      </c>
      <c r="H35" s="160">
        <f t="shared" si="4"/>
        <v>336152.41</v>
      </c>
      <c r="I35" s="160">
        <f t="shared" si="4"/>
        <v>311315.13</v>
      </c>
      <c r="J35" s="160">
        <f t="shared" si="4"/>
        <v>182619.5</v>
      </c>
      <c r="K35" s="160">
        <f t="shared" si="4"/>
        <v>222815.17</v>
      </c>
      <c r="L35" s="160">
        <f t="shared" si="4"/>
        <v>155344.22</v>
      </c>
      <c r="M35" s="160">
        <f t="shared" si="4"/>
        <v>172571.13</v>
      </c>
      <c r="N35" s="160">
        <f t="shared" si="1"/>
        <v>2266336.12</v>
      </c>
      <c r="O35" s="160">
        <f>SUM(O36:O38)</f>
        <v>0</v>
      </c>
    </row>
    <row r="36" spans="1:15" ht="12.75" customHeight="1" x14ac:dyDescent="0.3">
      <c r="A36" s="44" t="s">
        <v>360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51">
        <f t="shared" si="1"/>
        <v>0</v>
      </c>
      <c r="O36" s="171"/>
    </row>
    <row r="37" spans="1:15" ht="12.75" customHeight="1" x14ac:dyDescent="0.3">
      <c r="A37" s="44" t="s">
        <v>361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51">
        <f t="shared" si="1"/>
        <v>0</v>
      </c>
      <c r="O37" s="171"/>
    </row>
    <row r="38" spans="1:15" ht="12.75" customHeight="1" x14ac:dyDescent="0.3">
      <c r="A38" s="44" t="s">
        <v>362</v>
      </c>
      <c r="B38" s="171">
        <v>198023.17</v>
      </c>
      <c r="C38" s="171">
        <v>174671.8</v>
      </c>
      <c r="D38" s="171">
        <v>135271.99</v>
      </c>
      <c r="E38" s="171">
        <v>154860.39000000001</v>
      </c>
      <c r="F38" s="171">
        <v>137435.97</v>
      </c>
      <c r="G38" s="171">
        <v>85255.24</v>
      </c>
      <c r="H38" s="171">
        <v>336152.41</v>
      </c>
      <c r="I38" s="171">
        <v>311315.13</v>
      </c>
      <c r="J38" s="171">
        <v>182619.5</v>
      </c>
      <c r="K38" s="171">
        <v>222815.17</v>
      </c>
      <c r="L38" s="171">
        <v>155344.22</v>
      </c>
      <c r="M38" s="171">
        <v>172571.13</v>
      </c>
      <c r="N38" s="151">
        <f t="shared" si="1"/>
        <v>2266336.12</v>
      </c>
      <c r="O38" s="171"/>
    </row>
    <row r="39" spans="1:15" ht="12.75" customHeight="1" x14ac:dyDescent="0.3">
      <c r="A39" s="173" t="s">
        <v>363</v>
      </c>
      <c r="B39" s="174">
        <f t="shared" ref="B39:M39" si="5">+B13-B35</f>
        <v>1784051.8599999999</v>
      </c>
      <c r="C39" s="174">
        <f t="shared" si="5"/>
        <v>2168445.4000000004</v>
      </c>
      <c r="D39" s="174">
        <f t="shared" si="5"/>
        <v>1870013.47</v>
      </c>
      <c r="E39" s="174">
        <f t="shared" si="5"/>
        <v>1621412.21</v>
      </c>
      <c r="F39" s="174">
        <f t="shared" si="5"/>
        <v>1512928.5199999998</v>
      </c>
      <c r="G39" s="174">
        <f t="shared" si="5"/>
        <v>1412357.02</v>
      </c>
      <c r="H39" s="174">
        <f t="shared" si="5"/>
        <v>2474615.4899999993</v>
      </c>
      <c r="I39" s="174">
        <f t="shared" si="5"/>
        <v>3463120.19</v>
      </c>
      <c r="J39" s="174">
        <f t="shared" si="5"/>
        <v>1452256.59</v>
      </c>
      <c r="K39" s="174">
        <f t="shared" si="5"/>
        <v>3099644.84</v>
      </c>
      <c r="L39" s="174">
        <f t="shared" si="5"/>
        <v>1766887.1800000002</v>
      </c>
      <c r="M39" s="174">
        <f t="shared" si="5"/>
        <v>1792042.8400000003</v>
      </c>
      <c r="N39" s="174">
        <f t="shared" si="1"/>
        <v>24417775.609999999</v>
      </c>
      <c r="O39" s="174">
        <f>+O13-O35</f>
        <v>0</v>
      </c>
    </row>
    <row r="40" spans="1:15" ht="12.75" customHeight="1" x14ac:dyDescent="0.3">
      <c r="A40" s="792" t="s">
        <v>155</v>
      </c>
      <c r="B40" s="792"/>
      <c r="C40" s="792"/>
      <c r="D40" s="792"/>
      <c r="E40" s="792"/>
      <c r="F40" s="792"/>
      <c r="G40" s="792"/>
      <c r="H40" s="792"/>
      <c r="I40" s="792"/>
      <c r="J40" s="792"/>
      <c r="K40" s="792"/>
      <c r="L40" s="792"/>
      <c r="M40" s="792"/>
      <c r="N40" s="792"/>
      <c r="O40" s="792"/>
    </row>
    <row r="42" spans="1:15" ht="12.75" customHeight="1" x14ac:dyDescent="0.3"/>
  </sheetData>
  <sheetProtection password="F3F6" sheet="1"/>
  <mergeCells count="10">
    <mergeCell ref="A40:O40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3"/>
  <sheetViews>
    <sheetView showGridLines="0" topLeftCell="A49" zoomScale="80" zoomScaleNormal="80" workbookViewId="0">
      <selection activeCell="K52" sqref="K52"/>
    </sheetView>
  </sheetViews>
  <sheetFormatPr defaultColWidth="4.1796875" defaultRowHeight="11.25" customHeight="1" x14ac:dyDescent="0.3"/>
  <cols>
    <col min="1" max="1" width="69.54296875" style="132" customWidth="1"/>
    <col min="2" max="5" width="8.26953125" style="132" customWidth="1"/>
    <col min="6" max="6" width="20" style="132" customWidth="1"/>
    <col min="7" max="7" width="20.1796875" style="132" customWidth="1"/>
    <col min="8" max="8" width="20.81640625" style="132" customWidth="1"/>
    <col min="9" max="9" width="22.1796875" style="132" customWidth="1"/>
    <col min="10" max="10" width="18.453125" style="132" customWidth="1"/>
    <col min="11" max="11" width="18.7265625" style="132" customWidth="1"/>
    <col min="12" max="20" width="4.1796875" style="132" customWidth="1"/>
    <col min="21" max="21" width="24" style="132" customWidth="1"/>
    <col min="22" max="29" width="4.1796875" style="132" customWidth="1"/>
    <col min="30" max="30" width="12.26953125" style="132" customWidth="1"/>
    <col min="31" max="156" width="4.1796875" style="132" customWidth="1"/>
    <col min="157" max="157" width="16.1796875" style="132" customWidth="1"/>
    <col min="158" max="158" width="9" style="132" customWidth="1"/>
    <col min="159" max="16384" width="4.1796875" style="132"/>
  </cols>
  <sheetData>
    <row r="1" spans="1:159" ht="11.25" customHeight="1" x14ac:dyDescent="0.3">
      <c r="A1" s="28" t="s">
        <v>364</v>
      </c>
    </row>
    <row r="2" spans="1:159" ht="11.25" customHeight="1" x14ac:dyDescent="0.3">
      <c r="A2" s="28"/>
    </row>
    <row r="3" spans="1:159" ht="12.75" customHeight="1" x14ac:dyDescent="0.3">
      <c r="A3" s="801" t="str">
        <f>+'Informações Iniciais'!A1</f>
        <v>ESTADO DO MARANHÃO - PREFEITURA MUNICIPAL DE DAVINOPOLIS</v>
      </c>
      <c r="B3" s="801"/>
      <c r="C3" s="801"/>
      <c r="D3" s="801"/>
      <c r="E3" s="801"/>
      <c r="F3" s="801"/>
    </row>
    <row r="4" spans="1:159" ht="12.75" customHeight="1" x14ac:dyDescent="0.3">
      <c r="A4" s="802" t="s">
        <v>1</v>
      </c>
      <c r="B4" s="802"/>
      <c r="C4" s="802"/>
      <c r="D4" s="802"/>
      <c r="E4" s="802"/>
      <c r="F4" s="802"/>
    </row>
    <row r="5" spans="1:159" ht="12.75" customHeight="1" x14ac:dyDescent="0.3">
      <c r="A5" s="859" t="s">
        <v>365</v>
      </c>
      <c r="B5" s="859"/>
      <c r="C5" s="859"/>
      <c r="D5" s="859"/>
      <c r="E5" s="859"/>
      <c r="F5" s="859"/>
    </row>
    <row r="6" spans="1:159" ht="12.75" customHeight="1" x14ac:dyDescent="0.3">
      <c r="A6" s="802" t="s">
        <v>366</v>
      </c>
      <c r="B6" s="802"/>
      <c r="C6" s="802"/>
      <c r="D6" s="802"/>
      <c r="E6" s="802"/>
      <c r="F6" s="802"/>
    </row>
    <row r="7" spans="1:159" ht="12.75" customHeight="1" x14ac:dyDescent="0.3">
      <c r="A7" s="801" t="str">
        <f>+'Informações Iniciais'!A5</f>
        <v>2º Bimestre de 2017</v>
      </c>
      <c r="B7" s="801"/>
      <c r="C7" s="801"/>
      <c r="D7" s="801"/>
      <c r="E7" s="801"/>
      <c r="F7" s="801"/>
    </row>
    <row r="8" spans="1:159" ht="11.25" customHeight="1" x14ac:dyDescent="0.3">
      <c r="A8" s="134"/>
      <c r="B8" s="134"/>
      <c r="C8" s="134"/>
      <c r="D8" s="134"/>
      <c r="E8" s="134"/>
      <c r="F8" s="134"/>
    </row>
    <row r="9" spans="1:159" ht="12.75" customHeight="1" x14ac:dyDescent="0.3">
      <c r="A9" s="132" t="s">
        <v>367</v>
      </c>
      <c r="E9" s="167"/>
      <c r="J9" s="175"/>
      <c r="K9" s="167" t="s">
        <v>32</v>
      </c>
    </row>
    <row r="10" spans="1:159" ht="12.75" customHeight="1" x14ac:dyDescent="0.3">
      <c r="A10" s="805" t="s">
        <v>368</v>
      </c>
      <c r="B10" s="860" t="s">
        <v>34</v>
      </c>
      <c r="C10" s="860"/>
      <c r="D10" s="860"/>
      <c r="E10" s="860"/>
      <c r="F10" s="826" t="s">
        <v>35</v>
      </c>
      <c r="G10" s="826"/>
      <c r="H10" s="826" t="s">
        <v>36</v>
      </c>
      <c r="I10" s="826"/>
      <c r="J10" s="826"/>
      <c r="K10" s="826"/>
    </row>
    <row r="11" spans="1:159" ht="12.75" customHeight="1" x14ac:dyDescent="0.3">
      <c r="A11" s="805"/>
      <c r="B11" s="860"/>
      <c r="C11" s="860"/>
      <c r="D11" s="860"/>
      <c r="E11" s="860"/>
      <c r="F11" s="826"/>
      <c r="G11" s="826"/>
      <c r="H11" s="812" t="s">
        <v>369</v>
      </c>
      <c r="I11" s="812"/>
      <c r="J11" s="812" t="s">
        <v>369</v>
      </c>
      <c r="K11" s="812"/>
    </row>
    <row r="12" spans="1:159" ht="12.75" customHeight="1" x14ac:dyDescent="0.3">
      <c r="A12" s="805"/>
      <c r="B12" s="860"/>
      <c r="C12" s="860"/>
      <c r="D12" s="860"/>
      <c r="E12" s="860"/>
      <c r="F12" s="826"/>
      <c r="G12" s="826"/>
      <c r="H12" s="858" t="str">
        <f>IF(A7="&lt;SELECIONE O PERÍODO CLICANDO NA SETA AO LADO&gt;","&lt;Exercício&gt;",RIGHT(A7,4))</f>
        <v>2017</v>
      </c>
      <c r="I12" s="858"/>
      <c r="J12" s="836">
        <f>IF(FA12=FALSE,"&lt;Exercício Anterior&gt;",H12-1)</f>
        <v>2016</v>
      </c>
      <c r="K12" s="836"/>
      <c r="FA12" s="177" t="b">
        <f>ISNUMBER(H12*1)</f>
        <v>1</v>
      </c>
      <c r="FB12" s="177">
        <f>H12*1</f>
        <v>2017</v>
      </c>
      <c r="FC12" s="132" t="str">
        <f>H12</f>
        <v>2017</v>
      </c>
    </row>
    <row r="13" spans="1:159" ht="12.75" customHeight="1" x14ac:dyDescent="0.3">
      <c r="A13" s="178" t="s">
        <v>370</v>
      </c>
      <c r="B13" s="857">
        <f>+B14+B23+B33+B37+B38+B39</f>
        <v>0</v>
      </c>
      <c r="C13" s="857"/>
      <c r="D13" s="857"/>
      <c r="E13" s="857"/>
      <c r="F13" s="857">
        <f>+B14+B23+B33+B37+B38+B39</f>
        <v>0</v>
      </c>
      <c r="G13" s="857"/>
      <c r="H13" s="857">
        <f>+D14+D23+D33+D37+D38+D39</f>
        <v>0</v>
      </c>
      <c r="I13" s="857"/>
      <c r="J13" s="857">
        <f>+F14+F23+F33+F37+F38+F39</f>
        <v>0</v>
      </c>
      <c r="K13" s="857"/>
    </row>
    <row r="14" spans="1:159" ht="12.75" customHeight="1" x14ac:dyDescent="0.3">
      <c r="A14" s="179" t="s">
        <v>371</v>
      </c>
      <c r="B14" s="830">
        <f>+B15+B19</f>
        <v>0</v>
      </c>
      <c r="C14" s="830"/>
      <c r="D14" s="830"/>
      <c r="E14" s="830"/>
      <c r="F14" s="830">
        <f>+F15+F19</f>
        <v>0</v>
      </c>
      <c r="G14" s="830"/>
      <c r="H14" s="830">
        <f>+H15+H19</f>
        <v>0</v>
      </c>
      <c r="I14" s="830"/>
      <c r="J14" s="830">
        <f>+J15+J19</f>
        <v>0</v>
      </c>
      <c r="K14" s="830"/>
    </row>
    <row r="15" spans="1:159" ht="12.75" customHeight="1" x14ac:dyDescent="0.3">
      <c r="A15" s="180" t="s">
        <v>372</v>
      </c>
      <c r="B15" s="832">
        <f>SUM(B16:E18)</f>
        <v>0</v>
      </c>
      <c r="C15" s="832"/>
      <c r="D15" s="832"/>
      <c r="E15" s="832"/>
      <c r="F15" s="832">
        <f>SUM(F16:G18)</f>
        <v>0</v>
      </c>
      <c r="G15" s="832"/>
      <c r="H15" s="832">
        <f>SUM(H16:I18)</f>
        <v>0</v>
      </c>
      <c r="I15" s="832"/>
      <c r="J15" s="832">
        <f>SUM(J16:K18)</f>
        <v>0</v>
      </c>
      <c r="K15" s="832"/>
    </row>
    <row r="16" spans="1:159" ht="12.75" customHeight="1" x14ac:dyDescent="0.3">
      <c r="A16" s="136" t="s">
        <v>373</v>
      </c>
      <c r="B16" s="828"/>
      <c r="C16" s="828"/>
      <c r="D16" s="828"/>
      <c r="E16" s="828"/>
      <c r="F16" s="828"/>
      <c r="G16" s="828"/>
      <c r="H16" s="770"/>
      <c r="I16" s="770"/>
      <c r="J16" s="770"/>
      <c r="K16" s="770"/>
    </row>
    <row r="17" spans="1:11" ht="12.75" customHeight="1" x14ac:dyDescent="0.3">
      <c r="A17" s="136" t="s">
        <v>374</v>
      </c>
      <c r="B17" s="828"/>
      <c r="C17" s="828"/>
      <c r="D17" s="828"/>
      <c r="E17" s="828"/>
      <c r="F17" s="828"/>
      <c r="G17" s="828"/>
      <c r="H17" s="770"/>
      <c r="I17" s="770"/>
      <c r="J17" s="770"/>
      <c r="K17" s="770"/>
    </row>
    <row r="18" spans="1:11" ht="12.75" customHeight="1" x14ac:dyDescent="0.3">
      <c r="A18" s="136" t="s">
        <v>375</v>
      </c>
      <c r="B18" s="828"/>
      <c r="C18" s="828"/>
      <c r="D18" s="828"/>
      <c r="E18" s="828"/>
      <c r="F18" s="828"/>
      <c r="G18" s="828"/>
      <c r="H18" s="770"/>
      <c r="I18" s="770"/>
      <c r="J18" s="770"/>
      <c r="K18" s="770"/>
    </row>
    <row r="19" spans="1:11" ht="12.75" customHeight="1" x14ac:dyDescent="0.3">
      <c r="A19" s="180" t="s">
        <v>376</v>
      </c>
      <c r="B19" s="832">
        <f>SUM(B20:E22)</f>
        <v>0</v>
      </c>
      <c r="C19" s="832"/>
      <c r="D19" s="832"/>
      <c r="E19" s="832"/>
      <c r="F19" s="832">
        <f>SUM(F20:G22)</f>
        <v>0</v>
      </c>
      <c r="G19" s="832"/>
      <c r="H19" s="832">
        <f>SUM(H20:I22)</f>
        <v>0</v>
      </c>
      <c r="I19" s="832"/>
      <c r="J19" s="832">
        <f>SUM(J20:K22)</f>
        <v>0</v>
      </c>
      <c r="K19" s="832"/>
    </row>
    <row r="20" spans="1:11" ht="12.75" customHeight="1" x14ac:dyDescent="0.3">
      <c r="A20" s="136" t="s">
        <v>377</v>
      </c>
      <c r="B20" s="828"/>
      <c r="C20" s="828"/>
      <c r="D20" s="828"/>
      <c r="E20" s="828"/>
      <c r="F20" s="828"/>
      <c r="G20" s="828"/>
      <c r="H20" s="770"/>
      <c r="I20" s="770"/>
      <c r="J20" s="770"/>
      <c r="K20" s="770"/>
    </row>
    <row r="21" spans="1:11" ht="12.75" customHeight="1" x14ac:dyDescent="0.3">
      <c r="A21" s="136" t="s">
        <v>378</v>
      </c>
      <c r="B21" s="828"/>
      <c r="C21" s="828"/>
      <c r="D21" s="828"/>
      <c r="E21" s="828"/>
      <c r="F21" s="828"/>
      <c r="G21" s="828"/>
      <c r="H21" s="770"/>
      <c r="I21" s="770"/>
      <c r="J21" s="770"/>
      <c r="K21" s="770"/>
    </row>
    <row r="22" spans="1:11" ht="12.75" customHeight="1" x14ac:dyDescent="0.3">
      <c r="A22" s="136" t="s">
        <v>375</v>
      </c>
      <c r="B22" s="828"/>
      <c r="C22" s="828"/>
      <c r="D22" s="828"/>
      <c r="E22" s="828"/>
      <c r="F22" s="828"/>
      <c r="G22" s="828"/>
      <c r="H22" s="770"/>
      <c r="I22" s="770"/>
      <c r="J22" s="770"/>
      <c r="K22" s="770"/>
    </row>
    <row r="23" spans="1:11" ht="12.75" customHeight="1" x14ac:dyDescent="0.3">
      <c r="A23" s="179" t="s">
        <v>379</v>
      </c>
      <c r="B23" s="830">
        <f>+B24+B28+B32</f>
        <v>0</v>
      </c>
      <c r="C23" s="830"/>
      <c r="D23" s="830"/>
      <c r="E23" s="830"/>
      <c r="F23" s="830">
        <f>+F24+F28+F32</f>
        <v>0</v>
      </c>
      <c r="G23" s="830"/>
      <c r="H23" s="830">
        <f>+H24+H28+H32</f>
        <v>0</v>
      </c>
      <c r="I23" s="830"/>
      <c r="J23" s="830">
        <f>+J24+J28+J32</f>
        <v>0</v>
      </c>
      <c r="K23" s="830"/>
    </row>
    <row r="24" spans="1:11" ht="12.75" customHeight="1" x14ac:dyDescent="0.3">
      <c r="A24" s="180" t="s">
        <v>372</v>
      </c>
      <c r="B24" s="832">
        <f>SUM(B25:E27)</f>
        <v>0</v>
      </c>
      <c r="C24" s="832"/>
      <c r="D24" s="832"/>
      <c r="E24" s="832"/>
      <c r="F24" s="832">
        <f>SUM(F25:G27)</f>
        <v>0</v>
      </c>
      <c r="G24" s="832"/>
      <c r="H24" s="832">
        <f>SUM(H25:I27)</f>
        <v>0</v>
      </c>
      <c r="I24" s="832"/>
      <c r="J24" s="832">
        <f>SUM(J25:K27)</f>
        <v>0</v>
      </c>
      <c r="K24" s="832"/>
    </row>
    <row r="25" spans="1:11" ht="12.75" customHeight="1" x14ac:dyDescent="0.3">
      <c r="A25" s="136" t="s">
        <v>373</v>
      </c>
      <c r="B25" s="828"/>
      <c r="C25" s="828"/>
      <c r="D25" s="828"/>
      <c r="E25" s="828"/>
      <c r="F25" s="828"/>
      <c r="G25" s="828"/>
      <c r="H25" s="770"/>
      <c r="I25" s="770"/>
      <c r="J25" s="770"/>
      <c r="K25" s="770"/>
    </row>
    <row r="26" spans="1:11" ht="12.75" customHeight="1" x14ac:dyDescent="0.3">
      <c r="A26" s="136" t="s">
        <v>374</v>
      </c>
      <c r="B26" s="828"/>
      <c r="C26" s="828"/>
      <c r="D26" s="828"/>
      <c r="E26" s="828"/>
      <c r="F26" s="828"/>
      <c r="G26" s="828"/>
      <c r="H26" s="770"/>
      <c r="I26" s="770"/>
      <c r="J26" s="770"/>
      <c r="K26" s="770"/>
    </row>
    <row r="27" spans="1:11" ht="12.75" customHeight="1" x14ac:dyDescent="0.3">
      <c r="A27" s="136" t="s">
        <v>375</v>
      </c>
      <c r="B27" s="828"/>
      <c r="C27" s="828"/>
      <c r="D27" s="828"/>
      <c r="E27" s="828"/>
      <c r="F27" s="828"/>
      <c r="G27" s="828"/>
      <c r="H27" s="770"/>
      <c r="I27" s="770"/>
      <c r="J27" s="770"/>
      <c r="K27" s="770"/>
    </row>
    <row r="28" spans="1:11" ht="12.75" customHeight="1" x14ac:dyDescent="0.3">
      <c r="A28" s="180" t="s">
        <v>376</v>
      </c>
      <c r="B28" s="832">
        <f>SUM(B29:E31)</f>
        <v>0</v>
      </c>
      <c r="C28" s="832"/>
      <c r="D28" s="832"/>
      <c r="E28" s="832"/>
      <c r="F28" s="832">
        <f>SUM(F29:G31)</f>
        <v>0</v>
      </c>
      <c r="G28" s="832"/>
      <c r="H28" s="832">
        <f>SUM(H29:I31)</f>
        <v>0</v>
      </c>
      <c r="I28" s="832"/>
      <c r="J28" s="832">
        <f>SUM(J29:K31)</f>
        <v>0</v>
      </c>
      <c r="K28" s="832"/>
    </row>
    <row r="29" spans="1:11" ht="12.75" customHeight="1" x14ac:dyDescent="0.3">
      <c r="A29" s="136" t="s">
        <v>377</v>
      </c>
      <c r="B29" s="828"/>
      <c r="C29" s="828"/>
      <c r="D29" s="828"/>
      <c r="E29" s="828"/>
      <c r="F29" s="828"/>
      <c r="G29" s="828"/>
      <c r="H29" s="770"/>
      <c r="I29" s="770"/>
      <c r="J29" s="770"/>
      <c r="K29" s="770"/>
    </row>
    <row r="30" spans="1:11" ht="12.75" customHeight="1" x14ac:dyDescent="0.3">
      <c r="A30" s="136" t="s">
        <v>378</v>
      </c>
      <c r="B30" s="828"/>
      <c r="C30" s="828"/>
      <c r="D30" s="828"/>
      <c r="E30" s="828"/>
      <c r="F30" s="828"/>
      <c r="G30" s="828"/>
      <c r="H30" s="770"/>
      <c r="I30" s="770"/>
      <c r="J30" s="770"/>
      <c r="K30" s="770"/>
    </row>
    <row r="31" spans="1:11" ht="12.75" customHeight="1" x14ac:dyDescent="0.3">
      <c r="A31" s="136" t="s">
        <v>375</v>
      </c>
      <c r="B31" s="828"/>
      <c r="C31" s="828"/>
      <c r="D31" s="828"/>
      <c r="E31" s="828"/>
      <c r="F31" s="828"/>
      <c r="G31" s="828"/>
      <c r="H31" s="770"/>
      <c r="I31" s="770"/>
      <c r="J31" s="770"/>
      <c r="K31" s="770"/>
    </row>
    <row r="32" spans="1:11" ht="12.75" customHeight="1" x14ac:dyDescent="0.3">
      <c r="A32" s="180" t="s">
        <v>380</v>
      </c>
      <c r="B32" s="828"/>
      <c r="C32" s="828"/>
      <c r="D32" s="828"/>
      <c r="E32" s="828"/>
      <c r="F32" s="828"/>
      <c r="G32" s="828"/>
      <c r="H32" s="828"/>
      <c r="I32" s="828"/>
      <c r="J32" s="828"/>
      <c r="K32" s="828"/>
    </row>
    <row r="33" spans="1:11" ht="12.75" customHeight="1" x14ac:dyDescent="0.3">
      <c r="A33" s="179" t="s">
        <v>381</v>
      </c>
      <c r="B33" s="830">
        <f>SUM(B34:E36)</f>
        <v>0</v>
      </c>
      <c r="C33" s="830"/>
      <c r="D33" s="830"/>
      <c r="E33" s="830"/>
      <c r="F33" s="830">
        <f>SUM(F34:G36)</f>
        <v>0</v>
      </c>
      <c r="G33" s="830"/>
      <c r="H33" s="830">
        <f>SUM(H34:I36)</f>
        <v>0</v>
      </c>
      <c r="I33" s="830"/>
      <c r="J33" s="830">
        <f>SUM(J34:K36)</f>
        <v>0</v>
      </c>
      <c r="K33" s="830"/>
    </row>
    <row r="34" spans="1:11" ht="12.75" customHeight="1" x14ac:dyDescent="0.3">
      <c r="A34" s="136" t="s">
        <v>58</v>
      </c>
      <c r="B34" s="828"/>
      <c r="C34" s="828"/>
      <c r="D34" s="828"/>
      <c r="E34" s="828"/>
      <c r="F34" s="828"/>
      <c r="G34" s="828"/>
      <c r="H34" s="770"/>
      <c r="I34" s="770"/>
      <c r="J34" s="770"/>
      <c r="K34" s="770"/>
    </row>
    <row r="35" spans="1:11" ht="12.75" customHeight="1" x14ac:dyDescent="0.3">
      <c r="A35" s="136" t="s">
        <v>59</v>
      </c>
      <c r="B35" s="828"/>
      <c r="C35" s="828"/>
      <c r="D35" s="828"/>
      <c r="E35" s="828"/>
      <c r="F35" s="828"/>
      <c r="G35" s="828"/>
      <c r="H35" s="770"/>
      <c r="I35" s="770"/>
      <c r="J35" s="770"/>
      <c r="K35" s="770"/>
    </row>
    <row r="36" spans="1:11" ht="12.75" customHeight="1" x14ac:dyDescent="0.3">
      <c r="A36" s="136" t="s">
        <v>64</v>
      </c>
      <c r="B36" s="828"/>
      <c r="C36" s="828"/>
      <c r="D36" s="828"/>
      <c r="E36" s="828"/>
      <c r="F36" s="828"/>
      <c r="G36" s="828"/>
      <c r="H36" s="770"/>
      <c r="I36" s="770"/>
      <c r="J36" s="770"/>
      <c r="K36" s="770"/>
    </row>
    <row r="37" spans="1:11" ht="12.75" customHeight="1" x14ac:dyDescent="0.3">
      <c r="A37" s="179" t="s">
        <v>382</v>
      </c>
      <c r="B37" s="828"/>
      <c r="C37" s="828"/>
      <c r="D37" s="828"/>
      <c r="E37" s="828"/>
      <c r="F37" s="828"/>
      <c r="G37" s="828"/>
      <c r="H37" s="828"/>
      <c r="I37" s="828"/>
      <c r="J37" s="828"/>
      <c r="K37" s="828"/>
    </row>
    <row r="38" spans="1:11" ht="12.75" customHeight="1" x14ac:dyDescent="0.3">
      <c r="A38" s="179" t="s">
        <v>383</v>
      </c>
      <c r="B38" s="828"/>
      <c r="C38" s="828"/>
      <c r="D38" s="828"/>
      <c r="E38" s="828"/>
      <c r="F38" s="828"/>
      <c r="G38" s="828"/>
      <c r="H38" s="828"/>
      <c r="I38" s="828"/>
      <c r="J38" s="828"/>
      <c r="K38" s="828"/>
    </row>
    <row r="39" spans="1:11" ht="12.75" customHeight="1" x14ac:dyDescent="0.3">
      <c r="A39" s="179" t="s">
        <v>384</v>
      </c>
      <c r="B39" s="830">
        <f>SUM(B40:E41)</f>
        <v>0</v>
      </c>
      <c r="C39" s="830"/>
      <c r="D39" s="830"/>
      <c r="E39" s="830"/>
      <c r="F39" s="830">
        <f>SUM(F40:G41)</f>
        <v>0</v>
      </c>
      <c r="G39" s="830"/>
      <c r="H39" s="830">
        <f>SUM(H40:I41)</f>
        <v>0</v>
      </c>
      <c r="I39" s="830"/>
      <c r="J39" s="830">
        <f>SUM(J40:K41)</f>
        <v>0</v>
      </c>
      <c r="K39" s="830"/>
    </row>
    <row r="40" spans="1:11" ht="12.75" customHeight="1" x14ac:dyDescent="0.3">
      <c r="A40" s="136" t="s">
        <v>385</v>
      </c>
      <c r="B40" s="828"/>
      <c r="C40" s="828"/>
      <c r="D40" s="828"/>
      <c r="E40" s="828"/>
      <c r="F40" s="828"/>
      <c r="G40" s="828"/>
      <c r="H40" s="770"/>
      <c r="I40" s="770"/>
      <c r="J40" s="770"/>
      <c r="K40" s="770"/>
    </row>
    <row r="41" spans="1:11" ht="12.75" customHeight="1" x14ac:dyDescent="0.3">
      <c r="A41" s="136" t="s">
        <v>386</v>
      </c>
      <c r="B41" s="828"/>
      <c r="C41" s="828"/>
      <c r="D41" s="828"/>
      <c r="E41" s="828"/>
      <c r="F41" s="828"/>
      <c r="G41" s="828"/>
      <c r="H41" s="770"/>
      <c r="I41" s="770"/>
      <c r="J41" s="770"/>
      <c r="K41" s="770"/>
    </row>
    <row r="42" spans="1:11" ht="12.75" customHeight="1" x14ac:dyDescent="0.3">
      <c r="A42" s="181" t="s">
        <v>387</v>
      </c>
      <c r="B42" s="857">
        <f>SUM(B43:E45)</f>
        <v>0</v>
      </c>
      <c r="C42" s="857"/>
      <c r="D42" s="857"/>
      <c r="E42" s="857"/>
      <c r="F42" s="857">
        <f>SUM(F43:G45)</f>
        <v>0</v>
      </c>
      <c r="G42" s="857"/>
      <c r="H42" s="857">
        <f>SUM(H43:I45)</f>
        <v>0</v>
      </c>
      <c r="I42" s="857"/>
      <c r="J42" s="857">
        <f>SUM(J43:K45)</f>
        <v>0</v>
      </c>
      <c r="K42" s="857"/>
    </row>
    <row r="43" spans="1:11" ht="12.75" customHeight="1" x14ac:dyDescent="0.3">
      <c r="A43" s="136" t="s">
        <v>388</v>
      </c>
      <c r="B43" s="828"/>
      <c r="C43" s="828"/>
      <c r="D43" s="828"/>
      <c r="E43" s="828"/>
      <c r="F43" s="828"/>
      <c r="G43" s="828"/>
      <c r="H43" s="770"/>
      <c r="I43" s="770"/>
      <c r="J43" s="770"/>
      <c r="K43" s="770"/>
    </row>
    <row r="44" spans="1:11" ht="12.75" customHeight="1" x14ac:dyDescent="0.3">
      <c r="A44" s="136" t="s">
        <v>389</v>
      </c>
      <c r="B44" s="828"/>
      <c r="C44" s="828"/>
      <c r="D44" s="828"/>
      <c r="E44" s="828"/>
      <c r="F44" s="828"/>
      <c r="G44" s="828"/>
      <c r="H44" s="770"/>
      <c r="I44" s="770"/>
      <c r="J44" s="770"/>
      <c r="K44" s="770"/>
    </row>
    <row r="45" spans="1:11" ht="12.75" customHeight="1" x14ac:dyDescent="0.3">
      <c r="A45" s="136" t="s">
        <v>390</v>
      </c>
      <c r="B45" s="828"/>
      <c r="C45" s="828"/>
      <c r="D45" s="828"/>
      <c r="E45" s="828"/>
      <c r="F45" s="828"/>
      <c r="G45" s="828"/>
      <c r="H45" s="770"/>
      <c r="I45" s="770"/>
      <c r="J45" s="770"/>
      <c r="K45" s="770"/>
    </row>
    <row r="46" spans="1:11" ht="12.75" customHeight="1" x14ac:dyDescent="0.3">
      <c r="A46" s="182" t="s">
        <v>391</v>
      </c>
      <c r="B46" s="853">
        <f>+B42+B13</f>
        <v>0</v>
      </c>
      <c r="C46" s="853"/>
      <c r="D46" s="853"/>
      <c r="E46" s="853"/>
      <c r="F46" s="854">
        <f>+F42+F13</f>
        <v>0</v>
      </c>
      <c r="G46" s="854"/>
      <c r="H46" s="854">
        <f>+H42+H13</f>
        <v>0</v>
      </c>
      <c r="I46" s="854"/>
      <c r="J46" s="854">
        <f>+J42+J13</f>
        <v>0</v>
      </c>
      <c r="K46" s="854"/>
    </row>
    <row r="47" spans="1:11" ht="6" customHeight="1" x14ac:dyDescent="0.3">
      <c r="B47" s="16"/>
      <c r="C47" s="16"/>
      <c r="D47" s="16"/>
      <c r="E47" s="16"/>
      <c r="F47" s="18"/>
    </row>
    <row r="48" spans="1:11" ht="44.25" customHeight="1" x14ac:dyDescent="0.3">
      <c r="A48" s="855" t="s">
        <v>392</v>
      </c>
      <c r="B48" s="826" t="s">
        <v>119</v>
      </c>
      <c r="C48" s="826"/>
      <c r="D48" s="856" t="s">
        <v>120</v>
      </c>
      <c r="E48" s="856"/>
      <c r="F48" s="826" t="s">
        <v>121</v>
      </c>
      <c r="G48" s="826"/>
      <c r="H48" s="826" t="s">
        <v>122</v>
      </c>
      <c r="I48" s="826"/>
      <c r="J48" s="826" t="s">
        <v>163</v>
      </c>
      <c r="K48" s="826"/>
    </row>
    <row r="49" spans="1:11" ht="17.25" customHeight="1" x14ac:dyDescent="0.3">
      <c r="A49" s="855"/>
      <c r="B49" s="826"/>
      <c r="C49" s="826"/>
      <c r="D49" s="856"/>
      <c r="E49" s="856"/>
      <c r="F49" s="183" t="s">
        <v>369</v>
      </c>
      <c r="G49" s="183" t="s">
        <v>369</v>
      </c>
      <c r="H49" s="183" t="s">
        <v>369</v>
      </c>
      <c r="I49" s="183" t="s">
        <v>369</v>
      </c>
      <c r="J49" s="184" t="s">
        <v>393</v>
      </c>
      <c r="K49" s="184" t="s">
        <v>393</v>
      </c>
    </row>
    <row r="50" spans="1:11" ht="25.5" customHeight="1" x14ac:dyDescent="0.3">
      <c r="A50" s="855"/>
      <c r="B50" s="826"/>
      <c r="C50" s="826"/>
      <c r="D50" s="856"/>
      <c r="E50" s="856"/>
      <c r="F50" s="185" t="str">
        <f>+$H$12</f>
        <v>2017</v>
      </c>
      <c r="G50" s="185">
        <f>+$J$12</f>
        <v>2016</v>
      </c>
      <c r="H50" s="185" t="str">
        <f>+$H$12</f>
        <v>2017</v>
      </c>
      <c r="I50" s="185">
        <f>+$J$12</f>
        <v>2016</v>
      </c>
      <c r="J50" s="185" t="str">
        <f>+$H$12</f>
        <v>2017</v>
      </c>
      <c r="K50" s="176">
        <f>+$J$12</f>
        <v>2016</v>
      </c>
    </row>
    <row r="51" spans="1:11" ht="12.75" customHeight="1" x14ac:dyDescent="0.3">
      <c r="A51" s="186" t="s">
        <v>394</v>
      </c>
      <c r="B51" s="852">
        <f>SUM(B52:C53)</f>
        <v>0</v>
      </c>
      <c r="C51" s="852"/>
      <c r="D51" s="852">
        <f>SUM(D52:E53)</f>
        <v>0</v>
      </c>
      <c r="E51" s="852"/>
      <c r="F51" s="187">
        <f t="shared" ref="F51:K51" si="0">SUM(F52:F53)</f>
        <v>0</v>
      </c>
      <c r="G51" s="187">
        <f t="shared" si="0"/>
        <v>0</v>
      </c>
      <c r="H51" s="187">
        <f t="shared" si="0"/>
        <v>0</v>
      </c>
      <c r="I51" s="187">
        <f t="shared" si="0"/>
        <v>0</v>
      </c>
      <c r="J51" s="187">
        <f t="shared" si="0"/>
        <v>0</v>
      </c>
      <c r="K51" s="188">
        <f t="shared" si="0"/>
        <v>0</v>
      </c>
    </row>
    <row r="52" spans="1:11" ht="12.75" customHeight="1" x14ac:dyDescent="0.3">
      <c r="A52" s="189" t="s">
        <v>395</v>
      </c>
      <c r="B52" s="782"/>
      <c r="C52" s="782"/>
      <c r="D52" s="782"/>
      <c r="E52" s="782"/>
      <c r="F52" s="190"/>
      <c r="G52" s="190"/>
      <c r="H52" s="190"/>
      <c r="I52" s="190"/>
      <c r="J52" s="190"/>
      <c r="K52" s="191"/>
    </row>
    <row r="53" spans="1:11" ht="12.75" customHeight="1" x14ac:dyDescent="0.3">
      <c r="A53" s="189" t="s">
        <v>396</v>
      </c>
      <c r="B53" s="782"/>
      <c r="C53" s="782"/>
      <c r="D53" s="782"/>
      <c r="E53" s="782"/>
      <c r="F53" s="190"/>
      <c r="G53" s="190"/>
      <c r="H53" s="190"/>
      <c r="I53" s="190"/>
      <c r="J53" s="190"/>
      <c r="K53" s="191"/>
    </row>
    <row r="54" spans="1:11" ht="12.75" customHeight="1" x14ac:dyDescent="0.3">
      <c r="A54" s="192" t="s">
        <v>397</v>
      </c>
      <c r="B54" s="852">
        <f>+B55+B59+B63</f>
        <v>0</v>
      </c>
      <c r="C54" s="852"/>
      <c r="D54" s="852">
        <f>+D55+D59+D63</f>
        <v>0</v>
      </c>
      <c r="E54" s="852"/>
      <c r="F54" s="193">
        <f t="shared" ref="F54:K54" si="1">+F55+F59+F63</f>
        <v>0</v>
      </c>
      <c r="G54" s="193">
        <f t="shared" si="1"/>
        <v>0</v>
      </c>
      <c r="H54" s="193">
        <f t="shared" si="1"/>
        <v>0</v>
      </c>
      <c r="I54" s="193">
        <f t="shared" si="1"/>
        <v>0</v>
      </c>
      <c r="J54" s="193">
        <f t="shared" si="1"/>
        <v>0</v>
      </c>
      <c r="K54" s="188">
        <f t="shared" si="1"/>
        <v>0</v>
      </c>
    </row>
    <row r="55" spans="1:11" ht="12.75" customHeight="1" x14ac:dyDescent="0.3">
      <c r="A55" s="194" t="s">
        <v>398</v>
      </c>
      <c r="B55" s="851">
        <f>SUM(B56:C58)</f>
        <v>0</v>
      </c>
      <c r="C55" s="851"/>
      <c r="D55" s="851">
        <f>SUM(D56:E58)</f>
        <v>0</v>
      </c>
      <c r="E55" s="851"/>
      <c r="F55" s="195">
        <f t="shared" ref="F55:K55" si="2">SUM(F56:F58)</f>
        <v>0</v>
      </c>
      <c r="G55" s="195">
        <f t="shared" si="2"/>
        <v>0</v>
      </c>
      <c r="H55" s="195">
        <f t="shared" si="2"/>
        <v>0</v>
      </c>
      <c r="I55" s="195">
        <f t="shared" si="2"/>
        <v>0</v>
      </c>
      <c r="J55" s="195">
        <f t="shared" si="2"/>
        <v>0</v>
      </c>
      <c r="K55" s="196">
        <f t="shared" si="2"/>
        <v>0</v>
      </c>
    </row>
    <row r="56" spans="1:11" ht="12.75" customHeight="1" x14ac:dyDescent="0.3">
      <c r="A56" s="189" t="s">
        <v>399</v>
      </c>
      <c r="B56" s="782"/>
      <c r="C56" s="782"/>
      <c r="D56" s="782"/>
      <c r="E56" s="782"/>
      <c r="F56" s="197"/>
      <c r="G56" s="197"/>
      <c r="H56" s="197"/>
      <c r="I56" s="197"/>
      <c r="J56" s="197"/>
      <c r="K56" s="191"/>
    </row>
    <row r="57" spans="1:11" ht="12.75" customHeight="1" x14ac:dyDescent="0.3">
      <c r="A57" s="189" t="s">
        <v>400</v>
      </c>
      <c r="B57" s="782"/>
      <c r="C57" s="782"/>
      <c r="D57" s="782"/>
      <c r="E57" s="782"/>
      <c r="F57" s="197"/>
      <c r="G57" s="197"/>
      <c r="H57" s="197"/>
      <c r="I57" s="197"/>
      <c r="J57" s="197"/>
      <c r="K57" s="191"/>
    </row>
    <row r="58" spans="1:11" ht="12.75" customHeight="1" x14ac:dyDescent="0.3">
      <c r="A58" s="189" t="s">
        <v>401</v>
      </c>
      <c r="B58" s="782"/>
      <c r="C58" s="782"/>
      <c r="D58" s="782"/>
      <c r="E58" s="782"/>
      <c r="F58" s="197"/>
      <c r="G58" s="197"/>
      <c r="H58" s="197"/>
      <c r="I58" s="197"/>
      <c r="J58" s="197"/>
      <c r="K58" s="191"/>
    </row>
    <row r="59" spans="1:11" ht="12.75" customHeight="1" x14ac:dyDescent="0.3">
      <c r="A59" s="194" t="s">
        <v>402</v>
      </c>
      <c r="B59" s="851">
        <f>SUM(B60:C62)</f>
        <v>0</v>
      </c>
      <c r="C59" s="851"/>
      <c r="D59" s="851">
        <f>SUM(D60:E62)</f>
        <v>0</v>
      </c>
      <c r="E59" s="851"/>
      <c r="F59" s="195">
        <f t="shared" ref="F59:K59" si="3">SUM(F60:F62)</f>
        <v>0</v>
      </c>
      <c r="G59" s="195">
        <f t="shared" si="3"/>
        <v>0</v>
      </c>
      <c r="H59" s="195">
        <f t="shared" si="3"/>
        <v>0</v>
      </c>
      <c r="I59" s="195">
        <f t="shared" si="3"/>
        <v>0</v>
      </c>
      <c r="J59" s="195">
        <f t="shared" si="3"/>
        <v>0</v>
      </c>
      <c r="K59" s="196">
        <f t="shared" si="3"/>
        <v>0</v>
      </c>
    </row>
    <row r="60" spans="1:11" ht="12.75" customHeight="1" x14ac:dyDescent="0.3">
      <c r="A60" s="189" t="s">
        <v>403</v>
      </c>
      <c r="B60" s="782"/>
      <c r="C60" s="782"/>
      <c r="D60" s="782"/>
      <c r="E60" s="782"/>
      <c r="F60" s="197"/>
      <c r="G60" s="197"/>
      <c r="H60" s="197"/>
      <c r="I60" s="197"/>
      <c r="J60" s="197"/>
      <c r="K60" s="191"/>
    </row>
    <row r="61" spans="1:11" ht="12.75" customHeight="1" x14ac:dyDescent="0.3">
      <c r="A61" s="189" t="s">
        <v>400</v>
      </c>
      <c r="B61" s="782"/>
      <c r="C61" s="782"/>
      <c r="D61" s="782"/>
      <c r="E61" s="782"/>
      <c r="F61" s="197"/>
      <c r="G61" s="197"/>
      <c r="H61" s="197"/>
      <c r="I61" s="197"/>
      <c r="J61" s="197"/>
      <c r="K61" s="191"/>
    </row>
    <row r="62" spans="1:11" ht="12.75" customHeight="1" x14ac:dyDescent="0.3">
      <c r="A62" s="189" t="s">
        <v>401</v>
      </c>
      <c r="B62" s="782"/>
      <c r="C62" s="782"/>
      <c r="D62" s="782"/>
      <c r="E62" s="782"/>
      <c r="F62" s="197"/>
      <c r="G62" s="197"/>
      <c r="H62" s="197"/>
      <c r="I62" s="197"/>
      <c r="J62" s="197"/>
      <c r="K62" s="191"/>
    </row>
    <row r="63" spans="1:11" ht="12.75" customHeight="1" x14ac:dyDescent="0.3">
      <c r="A63" s="194" t="s">
        <v>404</v>
      </c>
      <c r="B63" s="851">
        <f>SUM(B64:C65)</f>
        <v>0</v>
      </c>
      <c r="C63" s="851"/>
      <c r="D63" s="851">
        <f>SUM(D64:E65)</f>
        <v>0</v>
      </c>
      <c r="E63" s="851"/>
      <c r="F63" s="195">
        <f t="shared" ref="F63:K63" si="4">SUM(F64:F65)</f>
        <v>0</v>
      </c>
      <c r="G63" s="195">
        <f t="shared" si="4"/>
        <v>0</v>
      </c>
      <c r="H63" s="195">
        <f t="shared" si="4"/>
        <v>0</v>
      </c>
      <c r="I63" s="195">
        <f t="shared" si="4"/>
        <v>0</v>
      </c>
      <c r="J63" s="195">
        <f t="shared" si="4"/>
        <v>0</v>
      </c>
      <c r="K63" s="196">
        <f t="shared" si="4"/>
        <v>0</v>
      </c>
    </row>
    <row r="64" spans="1:11" ht="12.75" customHeight="1" x14ac:dyDescent="0.3">
      <c r="A64" s="189" t="s">
        <v>405</v>
      </c>
      <c r="B64" s="782"/>
      <c r="C64" s="782"/>
      <c r="D64" s="782"/>
      <c r="E64" s="782"/>
      <c r="F64" s="197"/>
      <c r="G64" s="197"/>
      <c r="H64" s="197"/>
      <c r="I64" s="197"/>
      <c r="J64" s="197"/>
      <c r="K64" s="191"/>
    </row>
    <row r="65" spans="1:19" ht="12.75" customHeight="1" x14ac:dyDescent="0.3">
      <c r="A65" s="189" t="s">
        <v>406</v>
      </c>
      <c r="B65" s="782"/>
      <c r="C65" s="782"/>
      <c r="D65" s="782"/>
      <c r="E65" s="782"/>
      <c r="F65" s="197"/>
      <c r="G65" s="197"/>
      <c r="H65" s="197"/>
      <c r="I65" s="197"/>
      <c r="J65" s="197"/>
      <c r="K65" s="191"/>
    </row>
    <row r="66" spans="1:19" ht="12.75" customHeight="1" x14ac:dyDescent="0.3">
      <c r="A66" s="198" t="s">
        <v>407</v>
      </c>
      <c r="B66" s="849">
        <f>+B54+B51</f>
        <v>0</v>
      </c>
      <c r="C66" s="849"/>
      <c r="D66" s="849">
        <f>+D54+D51</f>
        <v>0</v>
      </c>
      <c r="E66" s="849"/>
      <c r="F66" s="199">
        <f t="shared" ref="F66:K66" si="5">+F54+F51</f>
        <v>0</v>
      </c>
      <c r="G66" s="199">
        <f t="shared" si="5"/>
        <v>0</v>
      </c>
      <c r="H66" s="199">
        <f t="shared" si="5"/>
        <v>0</v>
      </c>
      <c r="I66" s="199">
        <f t="shared" si="5"/>
        <v>0</v>
      </c>
      <c r="J66" s="199">
        <f t="shared" si="5"/>
        <v>0</v>
      </c>
      <c r="K66" s="200">
        <f t="shared" si="5"/>
        <v>0</v>
      </c>
    </row>
    <row r="67" spans="1:19" s="137" customFormat="1" ht="6" customHeight="1" x14ac:dyDescent="0.3">
      <c r="A67" s="201"/>
      <c r="B67" s="202"/>
      <c r="C67" s="202"/>
      <c r="D67" s="203"/>
      <c r="E67" s="203"/>
      <c r="F67" s="203"/>
    </row>
    <row r="68" spans="1:19" ht="12.75" customHeight="1" x14ac:dyDescent="0.3">
      <c r="A68" s="204" t="s">
        <v>408</v>
      </c>
      <c r="B68" s="849">
        <f>+B46-B66</f>
        <v>0</v>
      </c>
      <c r="C68" s="849"/>
      <c r="D68" s="850">
        <f>+F46-D66</f>
        <v>0</v>
      </c>
      <c r="E68" s="850"/>
      <c r="F68" s="205">
        <f>+H46-F66</f>
        <v>0</v>
      </c>
      <c r="G68" s="199">
        <f>+J46-G66</f>
        <v>0</v>
      </c>
      <c r="H68" s="199">
        <f>+H46-H66</f>
        <v>0</v>
      </c>
      <c r="I68" s="199">
        <f>+J46-I66</f>
        <v>0</v>
      </c>
      <c r="J68" s="206"/>
      <c r="K68" s="206"/>
      <c r="L68" s="207"/>
      <c r="M68" s="207"/>
      <c r="N68" s="207"/>
      <c r="O68" s="207"/>
      <c r="P68" s="207"/>
      <c r="Q68" s="207"/>
      <c r="R68" s="207"/>
      <c r="S68" s="207"/>
    </row>
    <row r="69" spans="1:19" ht="6" customHeight="1" x14ac:dyDescent="0.3">
      <c r="A69" s="208"/>
      <c r="B69" s="209"/>
      <c r="C69" s="209"/>
      <c r="D69" s="210"/>
      <c r="E69" s="210"/>
      <c r="F69" s="211"/>
      <c r="G69" s="211"/>
      <c r="H69" s="211"/>
      <c r="I69" s="211"/>
      <c r="J69" s="212"/>
      <c r="K69" s="212"/>
      <c r="L69" s="207"/>
      <c r="M69" s="207"/>
      <c r="N69" s="207"/>
      <c r="O69" s="207"/>
      <c r="P69" s="207"/>
      <c r="Q69" s="207"/>
      <c r="R69" s="207"/>
      <c r="S69" s="207"/>
    </row>
    <row r="70" spans="1:19" ht="12.75" customHeight="1" x14ac:dyDescent="0.3">
      <c r="A70" s="204" t="s">
        <v>409</v>
      </c>
      <c r="B70" s="849" t="s">
        <v>410</v>
      </c>
      <c r="C70" s="849"/>
      <c r="D70" s="849"/>
      <c r="E70" s="849"/>
      <c r="F70" s="849"/>
      <c r="G70" s="849"/>
      <c r="H70" s="849"/>
      <c r="I70" s="849"/>
      <c r="J70" s="849"/>
      <c r="K70" s="849"/>
      <c r="L70" s="207"/>
      <c r="M70" s="207"/>
      <c r="N70" s="207"/>
      <c r="O70" s="207"/>
      <c r="P70" s="207"/>
      <c r="Q70" s="207"/>
      <c r="R70" s="207"/>
      <c r="S70" s="207"/>
    </row>
    <row r="71" spans="1:19" ht="12.75" customHeight="1" x14ac:dyDescent="0.3">
      <c r="A71" s="213" t="s">
        <v>411</v>
      </c>
      <c r="B71" s="796"/>
      <c r="C71" s="796"/>
      <c r="D71" s="796"/>
      <c r="E71" s="796"/>
      <c r="F71" s="796"/>
      <c r="G71" s="796"/>
      <c r="H71" s="796"/>
      <c r="I71" s="796"/>
      <c r="J71" s="796"/>
      <c r="K71" s="796"/>
      <c r="L71" s="207"/>
      <c r="M71" s="207"/>
      <c r="N71" s="207"/>
      <c r="O71" s="207"/>
      <c r="P71" s="207"/>
      <c r="Q71" s="207"/>
      <c r="R71" s="207"/>
      <c r="S71" s="207"/>
    </row>
    <row r="72" spans="1:19" ht="6" customHeight="1" x14ac:dyDescent="0.3">
      <c r="A72" s="208"/>
      <c r="B72" s="209"/>
      <c r="C72" s="209"/>
      <c r="D72" s="210"/>
      <c r="E72" s="210"/>
      <c r="F72" s="211"/>
      <c r="G72" s="211"/>
      <c r="H72" s="211"/>
      <c r="I72" s="211"/>
      <c r="J72" s="212"/>
      <c r="K72" s="212"/>
      <c r="L72" s="207"/>
      <c r="M72" s="207"/>
      <c r="N72" s="207"/>
      <c r="O72" s="207"/>
      <c r="P72" s="207"/>
      <c r="Q72" s="207"/>
      <c r="R72" s="207"/>
      <c r="S72" s="207"/>
    </row>
    <row r="73" spans="1:19" ht="12.75" customHeight="1" x14ac:dyDescent="0.3">
      <c r="A73" s="214" t="s">
        <v>412</v>
      </c>
      <c r="B73" s="787" t="s">
        <v>410</v>
      </c>
      <c r="C73" s="787"/>
      <c r="D73" s="787"/>
      <c r="E73" s="787"/>
      <c r="F73" s="787"/>
      <c r="G73" s="787"/>
      <c r="H73" s="787"/>
      <c r="I73" s="787"/>
      <c r="J73" s="787"/>
      <c r="K73" s="787"/>
    </row>
    <row r="74" spans="1:19" ht="12.75" customHeight="1" x14ac:dyDescent="0.3">
      <c r="A74" s="215" t="s">
        <v>411</v>
      </c>
      <c r="B74" s="847"/>
      <c r="C74" s="847"/>
      <c r="D74" s="847"/>
      <c r="E74" s="847"/>
      <c r="F74" s="847"/>
      <c r="G74" s="847"/>
      <c r="H74" s="847"/>
      <c r="I74" s="847"/>
      <c r="J74" s="847"/>
      <c r="K74" s="847"/>
    </row>
    <row r="75" spans="1:19" ht="6" customHeight="1" x14ac:dyDescent="0.3">
      <c r="A75" s="137"/>
      <c r="B75" s="216"/>
      <c r="C75" s="217"/>
      <c r="D75" s="217"/>
      <c r="E75" s="217"/>
      <c r="F75" s="217"/>
    </row>
    <row r="76" spans="1:19" ht="12.75" customHeight="1" x14ac:dyDescent="0.3">
      <c r="A76" s="810" t="s">
        <v>413</v>
      </c>
      <c r="B76" s="811" t="s">
        <v>414</v>
      </c>
      <c r="C76" s="811"/>
      <c r="D76" s="811"/>
      <c r="E76" s="811"/>
      <c r="F76" s="811"/>
      <c r="G76" s="811"/>
      <c r="H76" s="811"/>
      <c r="I76" s="811"/>
      <c r="J76" s="811"/>
      <c r="K76" s="811"/>
    </row>
    <row r="77" spans="1:19" ht="11.25" customHeight="1" x14ac:dyDescent="0.3">
      <c r="A77" s="810"/>
      <c r="B77" s="811"/>
      <c r="C77" s="811"/>
      <c r="D77" s="811"/>
      <c r="E77" s="811"/>
      <c r="F77" s="811"/>
      <c r="G77" s="811"/>
      <c r="H77" s="811"/>
      <c r="I77" s="811"/>
      <c r="J77" s="811"/>
      <c r="K77" s="811"/>
    </row>
    <row r="78" spans="1:19" ht="11.25" customHeight="1" x14ac:dyDescent="0.3">
      <c r="A78" s="810"/>
      <c r="B78" s="811"/>
      <c r="C78" s="811"/>
      <c r="D78" s="811"/>
      <c r="E78" s="811"/>
      <c r="F78" s="811"/>
      <c r="G78" s="811"/>
      <c r="H78" s="811"/>
      <c r="I78" s="811"/>
      <c r="J78" s="811"/>
      <c r="K78" s="811"/>
    </row>
    <row r="79" spans="1:19" ht="12.75" customHeight="1" x14ac:dyDescent="0.3">
      <c r="A79" s="218" t="s">
        <v>415</v>
      </c>
      <c r="B79" s="848"/>
      <c r="C79" s="848"/>
      <c r="D79" s="848"/>
      <c r="E79" s="848"/>
      <c r="F79" s="848"/>
      <c r="G79" s="848"/>
      <c r="H79" s="848"/>
      <c r="I79" s="848"/>
      <c r="J79" s="848"/>
      <c r="K79" s="848"/>
    </row>
    <row r="80" spans="1:19" ht="12.75" customHeight="1" x14ac:dyDescent="0.3">
      <c r="A80" s="218" t="s">
        <v>416</v>
      </c>
      <c r="B80" s="843"/>
      <c r="C80" s="843"/>
      <c r="D80" s="843"/>
      <c r="E80" s="843"/>
      <c r="F80" s="843"/>
      <c r="G80" s="843"/>
      <c r="H80" s="843"/>
      <c r="I80" s="843"/>
      <c r="J80" s="843"/>
      <c r="K80" s="843"/>
    </row>
    <row r="81" spans="1:11" ht="12.75" customHeight="1" x14ac:dyDescent="0.3">
      <c r="A81" s="218" t="s">
        <v>417</v>
      </c>
      <c r="B81" s="843"/>
      <c r="C81" s="843"/>
      <c r="D81" s="843"/>
      <c r="E81" s="843"/>
      <c r="F81" s="843"/>
      <c r="G81" s="843"/>
      <c r="H81" s="843"/>
      <c r="I81" s="843"/>
      <c r="J81" s="843"/>
      <c r="K81" s="843"/>
    </row>
    <row r="82" spans="1:11" ht="12.75" customHeight="1" x14ac:dyDescent="0.3">
      <c r="A82" s="219" t="s">
        <v>418</v>
      </c>
      <c r="B82" s="844"/>
      <c r="C82" s="844"/>
      <c r="D82" s="844"/>
      <c r="E82" s="844"/>
      <c r="F82" s="844"/>
      <c r="G82" s="844"/>
      <c r="H82" s="844"/>
      <c r="I82" s="844"/>
      <c r="J82" s="844"/>
      <c r="K82" s="844"/>
    </row>
    <row r="83" spans="1:11" ht="6" customHeight="1" x14ac:dyDescent="0.3">
      <c r="A83" s="220"/>
      <c r="B83" s="220"/>
      <c r="C83" s="220"/>
      <c r="D83" s="220"/>
      <c r="E83" s="220"/>
      <c r="F83" s="220"/>
      <c r="G83" s="137"/>
    </row>
    <row r="84" spans="1:11" ht="12.75" customHeight="1" x14ac:dyDescent="0.3">
      <c r="A84" s="845" t="s">
        <v>419</v>
      </c>
      <c r="B84" s="846" t="s">
        <v>420</v>
      </c>
      <c r="C84" s="846"/>
      <c r="D84" s="846"/>
      <c r="E84" s="846"/>
      <c r="F84" s="846"/>
      <c r="G84" s="846"/>
      <c r="H84" s="846"/>
      <c r="I84" s="846"/>
      <c r="J84" s="846"/>
      <c r="K84" s="846"/>
    </row>
    <row r="85" spans="1:11" ht="12.75" customHeight="1" x14ac:dyDescent="0.3">
      <c r="A85" s="845"/>
      <c r="B85" s="826" t="str">
        <f>+F50</f>
        <v>2017</v>
      </c>
      <c r="C85" s="826"/>
      <c r="D85" s="826"/>
      <c r="E85" s="826"/>
      <c r="F85" s="826"/>
      <c r="G85" s="826"/>
      <c r="H85" s="826">
        <f>+G50</f>
        <v>2016</v>
      </c>
      <c r="I85" s="826"/>
      <c r="J85" s="826"/>
      <c r="K85" s="826"/>
    </row>
    <row r="86" spans="1:11" ht="12.75" customHeight="1" x14ac:dyDescent="0.3">
      <c r="A86" s="221" t="s">
        <v>421</v>
      </c>
      <c r="B86" s="838"/>
      <c r="C86" s="838"/>
      <c r="D86" s="838"/>
      <c r="E86" s="838"/>
      <c r="F86" s="838"/>
      <c r="G86" s="838"/>
      <c r="H86" s="839"/>
      <c r="I86" s="839"/>
      <c r="J86" s="839"/>
      <c r="K86" s="839"/>
    </row>
    <row r="87" spans="1:11" ht="12.75" customHeight="1" x14ac:dyDescent="0.3">
      <c r="A87" s="222" t="s">
        <v>422</v>
      </c>
      <c r="B87" s="828"/>
      <c r="C87" s="828"/>
      <c r="D87" s="828"/>
      <c r="E87" s="828"/>
      <c r="F87" s="828"/>
      <c r="G87" s="828"/>
      <c r="H87" s="840"/>
      <c r="I87" s="840"/>
      <c r="J87" s="840"/>
      <c r="K87" s="840"/>
    </row>
    <row r="88" spans="1:11" ht="12.75" customHeight="1" x14ac:dyDescent="0.3">
      <c r="A88" s="223" t="s">
        <v>423</v>
      </c>
      <c r="B88" s="841"/>
      <c r="C88" s="841"/>
      <c r="D88" s="841"/>
      <c r="E88" s="841"/>
      <c r="F88" s="841"/>
      <c r="G88" s="841"/>
      <c r="H88" s="842"/>
      <c r="I88" s="842"/>
      <c r="J88" s="842"/>
      <c r="K88" s="842"/>
    </row>
    <row r="89" spans="1:11" s="137" customFormat="1" ht="6" customHeight="1" x14ac:dyDescent="0.3">
      <c r="A89" s="224"/>
      <c r="B89" s="225"/>
      <c r="C89" s="225"/>
      <c r="D89" s="24"/>
      <c r="E89" s="24"/>
      <c r="F89" s="24"/>
    </row>
    <row r="90" spans="1:11" ht="15.75" customHeight="1" x14ac:dyDescent="0.3">
      <c r="A90" s="833" t="s">
        <v>424</v>
      </c>
      <c r="B90" s="833"/>
      <c r="C90" s="833"/>
      <c r="D90" s="833"/>
      <c r="E90" s="833"/>
      <c r="F90" s="833"/>
      <c r="G90" s="833"/>
      <c r="H90" s="833"/>
      <c r="I90" s="833"/>
      <c r="J90" s="833"/>
      <c r="K90" s="833"/>
    </row>
    <row r="91" spans="1:11" ht="12.75" customHeight="1" x14ac:dyDescent="0.3">
      <c r="A91" s="834" t="s">
        <v>425</v>
      </c>
      <c r="B91" s="835" t="s">
        <v>34</v>
      </c>
      <c r="C91" s="835"/>
      <c r="D91" s="835"/>
      <c r="E91" s="835"/>
      <c r="F91" s="836" t="s">
        <v>35</v>
      </c>
      <c r="G91" s="836"/>
      <c r="H91" s="836" t="s">
        <v>36</v>
      </c>
      <c r="I91" s="836"/>
      <c r="J91" s="836"/>
      <c r="K91" s="836"/>
    </row>
    <row r="92" spans="1:11" ht="12.75" customHeight="1" x14ac:dyDescent="0.3">
      <c r="A92" s="834"/>
      <c r="B92" s="835"/>
      <c r="C92" s="835"/>
      <c r="D92" s="835"/>
      <c r="E92" s="835"/>
      <c r="F92" s="836"/>
      <c r="G92" s="836"/>
      <c r="H92" s="812" t="s">
        <v>369</v>
      </c>
      <c r="I92" s="812"/>
      <c r="J92" s="812" t="s">
        <v>369</v>
      </c>
      <c r="K92" s="812"/>
    </row>
    <row r="93" spans="1:11" ht="12.75" customHeight="1" x14ac:dyDescent="0.3">
      <c r="A93" s="834"/>
      <c r="B93" s="835"/>
      <c r="C93" s="835"/>
      <c r="D93" s="835"/>
      <c r="E93" s="835"/>
      <c r="F93" s="836"/>
      <c r="G93" s="836"/>
      <c r="H93" s="836" t="str">
        <f>+F50</f>
        <v>2017</v>
      </c>
      <c r="I93" s="836"/>
      <c r="J93" s="837">
        <f>+G50</f>
        <v>2016</v>
      </c>
      <c r="K93" s="837"/>
    </row>
    <row r="94" spans="1:11" ht="12.75" customHeight="1" x14ac:dyDescent="0.3">
      <c r="A94" s="24" t="s">
        <v>426</v>
      </c>
      <c r="B94" s="829">
        <f>+B95+B104+B114+B118+B119</f>
        <v>0</v>
      </c>
      <c r="C94" s="829"/>
      <c r="D94" s="829"/>
      <c r="E94" s="829"/>
      <c r="F94" s="829">
        <f>+F95+F104+F114+F118+F119</f>
        <v>0</v>
      </c>
      <c r="G94" s="829"/>
      <c r="H94" s="829">
        <f>+H95+H104+H114+H118+H119</f>
        <v>0</v>
      </c>
      <c r="I94" s="829"/>
      <c r="J94" s="829">
        <f>+J95+J104+J114+J118+J119</f>
        <v>0</v>
      </c>
      <c r="K94" s="829"/>
    </row>
    <row r="95" spans="1:11" ht="12.75" customHeight="1" x14ac:dyDescent="0.3">
      <c r="A95" s="179" t="s">
        <v>427</v>
      </c>
      <c r="B95" s="830">
        <f>+B96+B100</f>
        <v>0</v>
      </c>
      <c r="C95" s="830"/>
      <c r="D95" s="830"/>
      <c r="E95" s="830"/>
      <c r="F95" s="830">
        <f>+F96+F100</f>
        <v>0</v>
      </c>
      <c r="G95" s="830"/>
      <c r="H95" s="830">
        <f>+H96+H100</f>
        <v>0</v>
      </c>
      <c r="I95" s="830"/>
      <c r="J95" s="830">
        <f>+J96+J100</f>
        <v>0</v>
      </c>
      <c r="K95" s="830"/>
    </row>
    <row r="96" spans="1:11" ht="12.75" customHeight="1" x14ac:dyDescent="0.3">
      <c r="A96" s="180" t="s">
        <v>428</v>
      </c>
      <c r="B96" s="832">
        <f>SUM(B97:E99)</f>
        <v>0</v>
      </c>
      <c r="C96" s="832"/>
      <c r="D96" s="832"/>
      <c r="E96" s="832"/>
      <c r="F96" s="832">
        <f>SUM(F97:G99)</f>
        <v>0</v>
      </c>
      <c r="G96" s="832"/>
      <c r="H96" s="832">
        <f>SUM(H97:I99)</f>
        <v>0</v>
      </c>
      <c r="I96" s="832"/>
      <c r="J96" s="832">
        <f>SUM(J97:K99)</f>
        <v>0</v>
      </c>
      <c r="K96" s="832"/>
    </row>
    <row r="97" spans="1:11" ht="12.75" customHeight="1" x14ac:dyDescent="0.3">
      <c r="A97" s="136" t="s">
        <v>429</v>
      </c>
      <c r="B97" s="828"/>
      <c r="C97" s="828"/>
      <c r="D97" s="828"/>
      <c r="E97" s="828"/>
      <c r="F97" s="828"/>
      <c r="G97" s="828"/>
      <c r="H97" s="770"/>
      <c r="I97" s="770"/>
      <c r="J97" s="770"/>
      <c r="K97" s="770"/>
    </row>
    <row r="98" spans="1:11" ht="12.75" customHeight="1" x14ac:dyDescent="0.3">
      <c r="A98" s="136" t="s">
        <v>430</v>
      </c>
      <c r="B98" s="828"/>
      <c r="C98" s="828"/>
      <c r="D98" s="828"/>
      <c r="E98" s="828"/>
      <c r="F98" s="828"/>
      <c r="G98" s="828"/>
      <c r="H98" s="770"/>
      <c r="I98" s="770"/>
      <c r="J98" s="770"/>
      <c r="K98" s="770"/>
    </row>
    <row r="99" spans="1:11" ht="12.75" customHeight="1" x14ac:dyDescent="0.3">
      <c r="A99" s="136" t="s">
        <v>431</v>
      </c>
      <c r="B99" s="828"/>
      <c r="C99" s="828"/>
      <c r="D99" s="828"/>
      <c r="E99" s="828"/>
      <c r="F99" s="828"/>
      <c r="G99" s="828"/>
      <c r="H99" s="770"/>
      <c r="I99" s="770"/>
      <c r="J99" s="770"/>
      <c r="K99" s="770"/>
    </row>
    <row r="100" spans="1:11" ht="12.75" customHeight="1" x14ac:dyDescent="0.3">
      <c r="A100" s="180" t="s">
        <v>432</v>
      </c>
      <c r="B100" s="832">
        <f>SUM(B101:E103)</f>
        <v>0</v>
      </c>
      <c r="C100" s="832"/>
      <c r="D100" s="832"/>
      <c r="E100" s="832"/>
      <c r="F100" s="832">
        <f>SUM(F101:G103)</f>
        <v>0</v>
      </c>
      <c r="G100" s="832"/>
      <c r="H100" s="832">
        <f>SUM(H101:I103)</f>
        <v>0</v>
      </c>
      <c r="I100" s="832"/>
      <c r="J100" s="832">
        <f>SUM(J101:K103)</f>
        <v>0</v>
      </c>
      <c r="K100" s="832"/>
    </row>
    <row r="101" spans="1:11" ht="12.75" customHeight="1" x14ac:dyDescent="0.3">
      <c r="A101" s="136" t="s">
        <v>429</v>
      </c>
      <c r="B101" s="828"/>
      <c r="C101" s="828"/>
      <c r="D101" s="828"/>
      <c r="E101" s="828"/>
      <c r="F101" s="828"/>
      <c r="G101" s="828"/>
      <c r="H101" s="770"/>
      <c r="I101" s="770"/>
      <c r="J101" s="770"/>
      <c r="K101" s="770"/>
    </row>
    <row r="102" spans="1:11" ht="12.75" customHeight="1" x14ac:dyDescent="0.3">
      <c r="A102" s="136" t="s">
        <v>430</v>
      </c>
      <c r="B102" s="828"/>
      <c r="C102" s="828"/>
      <c r="D102" s="828"/>
      <c r="E102" s="828"/>
      <c r="F102" s="828"/>
      <c r="G102" s="828"/>
      <c r="H102" s="770"/>
      <c r="I102" s="770"/>
      <c r="J102" s="770"/>
      <c r="K102" s="770"/>
    </row>
    <row r="103" spans="1:11" ht="12.75" customHeight="1" x14ac:dyDescent="0.3">
      <c r="A103" s="136" t="s">
        <v>431</v>
      </c>
      <c r="B103" s="828"/>
      <c r="C103" s="828"/>
      <c r="D103" s="828"/>
      <c r="E103" s="828"/>
      <c r="F103" s="828"/>
      <c r="G103" s="828"/>
      <c r="H103" s="770"/>
      <c r="I103" s="770"/>
      <c r="J103" s="770"/>
      <c r="K103" s="770"/>
    </row>
    <row r="104" spans="1:11" ht="12.75" customHeight="1" x14ac:dyDescent="0.3">
      <c r="A104" s="179" t="s">
        <v>433</v>
      </c>
      <c r="B104" s="830">
        <f>+B105+B109+B113</f>
        <v>0</v>
      </c>
      <c r="C104" s="830"/>
      <c r="D104" s="830"/>
      <c r="E104" s="830"/>
      <c r="F104" s="830">
        <f>+F105+F109+F113</f>
        <v>0</v>
      </c>
      <c r="G104" s="830"/>
      <c r="H104" s="830">
        <f>+H105+H109+H113</f>
        <v>0</v>
      </c>
      <c r="I104" s="830"/>
      <c r="J104" s="830">
        <f>+J105+J109+J113</f>
        <v>0</v>
      </c>
      <c r="K104" s="830"/>
    </row>
    <row r="105" spans="1:11" ht="12.75" customHeight="1" x14ac:dyDescent="0.3">
      <c r="A105" s="180" t="s">
        <v>428</v>
      </c>
      <c r="B105" s="832">
        <f>SUM(B106:E108)</f>
        <v>0</v>
      </c>
      <c r="C105" s="832"/>
      <c r="D105" s="832"/>
      <c r="E105" s="832"/>
      <c r="F105" s="832">
        <f>SUM(F106:G108)</f>
        <v>0</v>
      </c>
      <c r="G105" s="832"/>
      <c r="H105" s="832">
        <f>SUM(H106:I108)</f>
        <v>0</v>
      </c>
      <c r="I105" s="832"/>
      <c r="J105" s="832">
        <f>SUM(J106:K108)</f>
        <v>0</v>
      </c>
      <c r="K105" s="832"/>
    </row>
    <row r="106" spans="1:11" ht="12.75" customHeight="1" x14ac:dyDescent="0.3">
      <c r="A106" s="136" t="s">
        <v>429</v>
      </c>
      <c r="B106" s="828"/>
      <c r="C106" s="828"/>
      <c r="D106" s="828"/>
      <c r="E106" s="828"/>
      <c r="F106" s="828"/>
      <c r="G106" s="828"/>
      <c r="H106" s="770"/>
      <c r="I106" s="770"/>
      <c r="J106" s="770"/>
      <c r="K106" s="770"/>
    </row>
    <row r="107" spans="1:11" ht="12.75" customHeight="1" x14ac:dyDescent="0.3">
      <c r="A107" s="136" t="s">
        <v>430</v>
      </c>
      <c r="B107" s="828"/>
      <c r="C107" s="828"/>
      <c r="D107" s="828"/>
      <c r="E107" s="828"/>
      <c r="F107" s="828"/>
      <c r="G107" s="828"/>
      <c r="H107" s="770"/>
      <c r="I107" s="770"/>
      <c r="J107" s="770"/>
      <c r="K107" s="770"/>
    </row>
    <row r="108" spans="1:11" ht="12.75" customHeight="1" x14ac:dyDescent="0.3">
      <c r="A108" s="136" t="s">
        <v>431</v>
      </c>
      <c r="B108" s="828"/>
      <c r="C108" s="828"/>
      <c r="D108" s="828"/>
      <c r="E108" s="828"/>
      <c r="F108" s="828"/>
      <c r="G108" s="828"/>
      <c r="H108" s="770"/>
      <c r="I108" s="770"/>
      <c r="J108" s="770"/>
      <c r="K108" s="770"/>
    </row>
    <row r="109" spans="1:11" ht="12.75" customHeight="1" x14ac:dyDescent="0.3">
      <c r="A109" s="180" t="s">
        <v>432</v>
      </c>
      <c r="B109" s="832">
        <f>SUM(B110:E112)</f>
        <v>0</v>
      </c>
      <c r="C109" s="832"/>
      <c r="D109" s="832"/>
      <c r="E109" s="832"/>
      <c r="F109" s="832">
        <f>SUM(F110:G112)</f>
        <v>0</v>
      </c>
      <c r="G109" s="832"/>
      <c r="H109" s="832">
        <f>SUM(H110:I112)</f>
        <v>0</v>
      </c>
      <c r="I109" s="832"/>
      <c r="J109" s="832">
        <f>SUM(J110:K112)</f>
        <v>0</v>
      </c>
      <c r="K109" s="832"/>
    </row>
    <row r="110" spans="1:11" ht="12.75" customHeight="1" x14ac:dyDescent="0.3">
      <c r="A110" s="136" t="s">
        <v>429</v>
      </c>
      <c r="B110" s="828"/>
      <c r="C110" s="828"/>
      <c r="D110" s="828"/>
      <c r="E110" s="828"/>
      <c r="F110" s="828"/>
      <c r="G110" s="828"/>
      <c r="H110" s="770"/>
      <c r="I110" s="770"/>
      <c r="J110" s="770"/>
      <c r="K110" s="770"/>
    </row>
    <row r="111" spans="1:11" ht="12.75" customHeight="1" x14ac:dyDescent="0.3">
      <c r="A111" s="136" t="s">
        <v>430</v>
      </c>
      <c r="B111" s="828"/>
      <c r="C111" s="828"/>
      <c r="D111" s="828"/>
      <c r="E111" s="828"/>
      <c r="F111" s="828"/>
      <c r="G111" s="828"/>
      <c r="H111" s="770"/>
      <c r="I111" s="770"/>
      <c r="J111" s="770"/>
      <c r="K111" s="770"/>
    </row>
    <row r="112" spans="1:11" ht="12.75" customHeight="1" x14ac:dyDescent="0.3">
      <c r="A112" s="136" t="s">
        <v>431</v>
      </c>
      <c r="B112" s="828">
        <v>0</v>
      </c>
      <c r="C112" s="828"/>
      <c r="D112" s="828"/>
      <c r="E112" s="828"/>
      <c r="F112" s="828">
        <v>0</v>
      </c>
      <c r="G112" s="828"/>
      <c r="H112" s="770">
        <v>0</v>
      </c>
      <c r="I112" s="770"/>
      <c r="J112" s="770">
        <v>0</v>
      </c>
      <c r="K112" s="770"/>
    </row>
    <row r="113" spans="1:11" ht="12.75" customHeight="1" x14ac:dyDescent="0.3">
      <c r="A113" s="180" t="s">
        <v>434</v>
      </c>
      <c r="B113" s="831">
        <v>0</v>
      </c>
      <c r="C113" s="831"/>
      <c r="D113" s="831"/>
      <c r="E113" s="831"/>
      <c r="F113" s="831">
        <v>0</v>
      </c>
      <c r="G113" s="831"/>
      <c r="H113" s="831">
        <v>0</v>
      </c>
      <c r="I113" s="831"/>
      <c r="J113" s="831">
        <v>0</v>
      </c>
      <c r="K113" s="831"/>
    </row>
    <row r="114" spans="1:11" ht="12.75" customHeight="1" x14ac:dyDescent="0.3">
      <c r="A114" s="179" t="s">
        <v>345</v>
      </c>
      <c r="B114" s="830">
        <f>SUM(B115:E117)</f>
        <v>0</v>
      </c>
      <c r="C114" s="830"/>
      <c r="D114" s="830"/>
      <c r="E114" s="830"/>
      <c r="F114" s="830">
        <f>SUM(F115:G117)</f>
        <v>0</v>
      </c>
      <c r="G114" s="830"/>
      <c r="H114" s="830">
        <f>SUM(H115:I117)</f>
        <v>0</v>
      </c>
      <c r="I114" s="830"/>
      <c r="J114" s="830">
        <f>SUM(J115:K117)</f>
        <v>0</v>
      </c>
      <c r="K114" s="830"/>
    </row>
    <row r="115" spans="1:11" ht="12.75" customHeight="1" x14ac:dyDescent="0.3">
      <c r="A115" s="136" t="s">
        <v>435</v>
      </c>
      <c r="B115" s="828"/>
      <c r="C115" s="828"/>
      <c r="D115" s="828"/>
      <c r="E115" s="828"/>
      <c r="F115" s="828"/>
      <c r="G115" s="828"/>
      <c r="H115" s="770"/>
      <c r="I115" s="770"/>
      <c r="J115" s="770"/>
      <c r="K115" s="770"/>
    </row>
    <row r="116" spans="1:11" ht="12.75" customHeight="1" x14ac:dyDescent="0.3">
      <c r="A116" s="136" t="s">
        <v>436</v>
      </c>
      <c r="B116" s="828"/>
      <c r="C116" s="828"/>
      <c r="D116" s="828"/>
      <c r="E116" s="828"/>
      <c r="F116" s="828"/>
      <c r="G116" s="828"/>
      <c r="H116" s="770"/>
      <c r="I116" s="770"/>
      <c r="J116" s="770"/>
      <c r="K116" s="770"/>
    </row>
    <row r="117" spans="1:11" ht="12.75" customHeight="1" x14ac:dyDescent="0.3">
      <c r="A117" s="136" t="s">
        <v>437</v>
      </c>
      <c r="B117" s="828"/>
      <c r="C117" s="828"/>
      <c r="D117" s="828"/>
      <c r="E117" s="828"/>
      <c r="F117" s="828"/>
      <c r="G117" s="828"/>
      <c r="H117" s="770"/>
      <c r="I117" s="770"/>
      <c r="J117" s="770"/>
      <c r="K117" s="770"/>
    </row>
    <row r="118" spans="1:11" ht="12.75" customHeight="1" x14ac:dyDescent="0.3">
      <c r="A118" s="179" t="s">
        <v>348</v>
      </c>
      <c r="B118" s="828"/>
      <c r="C118" s="828"/>
      <c r="D118" s="828"/>
      <c r="E118" s="828"/>
      <c r="F118" s="828"/>
      <c r="G118" s="828"/>
      <c r="H118" s="828"/>
      <c r="I118" s="828"/>
      <c r="J118" s="828"/>
      <c r="K118" s="828"/>
    </row>
    <row r="119" spans="1:11" ht="12.75" customHeight="1" x14ac:dyDescent="0.3">
      <c r="A119" s="179" t="s">
        <v>358</v>
      </c>
      <c r="B119" s="830">
        <f>SUM(B120:E121)</f>
        <v>0</v>
      </c>
      <c r="C119" s="830"/>
      <c r="D119" s="830"/>
      <c r="E119" s="830"/>
      <c r="F119" s="830">
        <f>SUM(F120:G121)</f>
        <v>0</v>
      </c>
      <c r="G119" s="830"/>
      <c r="H119" s="830">
        <f>SUM(H120:I121)</f>
        <v>0</v>
      </c>
      <c r="I119" s="830"/>
      <c r="J119" s="830">
        <f>SUM(J120:K121)</f>
        <v>0</v>
      </c>
      <c r="K119" s="830"/>
    </row>
    <row r="120" spans="1:11" ht="12.75" customHeight="1" x14ac:dyDescent="0.3">
      <c r="A120" s="136" t="s">
        <v>438</v>
      </c>
      <c r="B120" s="828"/>
      <c r="C120" s="828"/>
      <c r="D120" s="828"/>
      <c r="E120" s="828"/>
      <c r="F120" s="828"/>
      <c r="G120" s="828"/>
      <c r="H120" s="770"/>
      <c r="I120" s="770"/>
      <c r="J120" s="770"/>
      <c r="K120" s="770"/>
    </row>
    <row r="121" spans="1:11" ht="12.75" customHeight="1" x14ac:dyDescent="0.3">
      <c r="A121" s="136" t="s">
        <v>439</v>
      </c>
      <c r="B121" s="828"/>
      <c r="C121" s="828"/>
      <c r="D121" s="828"/>
      <c r="E121" s="828"/>
      <c r="F121" s="828"/>
      <c r="G121" s="828"/>
      <c r="H121" s="770"/>
      <c r="I121" s="770"/>
      <c r="J121" s="770"/>
      <c r="K121" s="770"/>
    </row>
    <row r="122" spans="1:11" ht="12.75" customHeight="1" x14ac:dyDescent="0.3">
      <c r="A122" s="136" t="s">
        <v>440</v>
      </c>
      <c r="B122" s="829">
        <f>SUM(B123:E125)</f>
        <v>0</v>
      </c>
      <c r="C122" s="829"/>
      <c r="D122" s="829"/>
      <c r="E122" s="829"/>
      <c r="F122" s="829">
        <f>SUM(F123:G125)</f>
        <v>0</v>
      </c>
      <c r="G122" s="829"/>
      <c r="H122" s="829">
        <f>SUM(H123:I125)</f>
        <v>0</v>
      </c>
      <c r="I122" s="829"/>
      <c r="J122" s="829">
        <f>SUM(J123:K125)</f>
        <v>0</v>
      </c>
      <c r="K122" s="829"/>
    </row>
    <row r="123" spans="1:11" ht="12.75" customHeight="1" x14ac:dyDescent="0.3">
      <c r="A123" s="136" t="s">
        <v>441</v>
      </c>
      <c r="B123" s="828"/>
      <c r="C123" s="828"/>
      <c r="D123" s="828"/>
      <c r="E123" s="828"/>
      <c r="F123" s="828"/>
      <c r="G123" s="828"/>
      <c r="H123" s="770"/>
      <c r="I123" s="770"/>
      <c r="J123" s="770"/>
      <c r="K123" s="770"/>
    </row>
    <row r="124" spans="1:11" ht="12.75" customHeight="1" x14ac:dyDescent="0.3">
      <c r="A124" s="136" t="s">
        <v>442</v>
      </c>
      <c r="B124" s="828"/>
      <c r="C124" s="828"/>
      <c r="D124" s="828"/>
      <c r="E124" s="828"/>
      <c r="F124" s="828"/>
      <c r="G124" s="828"/>
      <c r="H124" s="770"/>
      <c r="I124" s="770"/>
      <c r="J124" s="770"/>
      <c r="K124" s="770"/>
    </row>
    <row r="125" spans="1:11" ht="12.75" customHeight="1" x14ac:dyDescent="0.3">
      <c r="A125" s="136" t="s">
        <v>443</v>
      </c>
      <c r="B125" s="828"/>
      <c r="C125" s="828"/>
      <c r="D125" s="828"/>
      <c r="E125" s="828"/>
      <c r="F125" s="828"/>
      <c r="G125" s="828"/>
      <c r="H125" s="770"/>
      <c r="I125" s="770"/>
      <c r="J125" s="770"/>
      <c r="K125" s="770"/>
    </row>
    <row r="126" spans="1:11" ht="25.5" customHeight="1" x14ac:dyDescent="0.3">
      <c r="A126" s="228" t="s">
        <v>444</v>
      </c>
      <c r="B126" s="824">
        <f>+B94+B122</f>
        <v>0</v>
      </c>
      <c r="C126" s="824"/>
      <c r="D126" s="824"/>
      <c r="E126" s="824"/>
      <c r="F126" s="824">
        <f>+F94+F122</f>
        <v>0</v>
      </c>
      <c r="G126" s="824"/>
      <c r="H126" s="824">
        <f>+H94+H122</f>
        <v>0</v>
      </c>
      <c r="I126" s="824"/>
      <c r="J126" s="824">
        <f>+J94+J122</f>
        <v>0</v>
      </c>
      <c r="K126" s="824"/>
    </row>
    <row r="127" spans="1:11" ht="6" customHeight="1" x14ac:dyDescent="0.3">
      <c r="A127" s="24"/>
      <c r="B127" s="18"/>
      <c r="C127" s="18"/>
      <c r="D127" s="229"/>
      <c r="E127" s="229"/>
      <c r="F127" s="229"/>
    </row>
    <row r="128" spans="1:11" ht="24.75" customHeight="1" x14ac:dyDescent="0.3">
      <c r="A128" s="825" t="s">
        <v>392</v>
      </c>
      <c r="B128" s="826" t="s">
        <v>119</v>
      </c>
      <c r="C128" s="826"/>
      <c r="D128" s="827" t="s">
        <v>120</v>
      </c>
      <c r="E128" s="827"/>
      <c r="F128" s="826" t="s">
        <v>121</v>
      </c>
      <c r="G128" s="826"/>
      <c r="H128" s="826" t="s">
        <v>122</v>
      </c>
      <c r="I128" s="826"/>
      <c r="J128" s="826" t="s">
        <v>163</v>
      </c>
      <c r="K128" s="826"/>
    </row>
    <row r="129" spans="1:11" ht="12.75" customHeight="1" x14ac:dyDescent="0.3">
      <c r="A129" s="825"/>
      <c r="B129" s="826"/>
      <c r="C129" s="826"/>
      <c r="D129" s="827"/>
      <c r="E129" s="827"/>
      <c r="F129" s="183" t="s">
        <v>369</v>
      </c>
      <c r="G129" s="183" t="s">
        <v>369</v>
      </c>
      <c r="H129" s="183" t="s">
        <v>369</v>
      </c>
      <c r="I129" s="183" t="s">
        <v>369</v>
      </c>
      <c r="J129" s="184" t="s">
        <v>393</v>
      </c>
      <c r="K129" s="184" t="s">
        <v>393</v>
      </c>
    </row>
    <row r="130" spans="1:11" ht="25.5" customHeight="1" x14ac:dyDescent="0.3">
      <c r="A130" s="825"/>
      <c r="B130" s="826"/>
      <c r="C130" s="826"/>
      <c r="D130" s="827"/>
      <c r="E130" s="827"/>
      <c r="F130" s="185" t="str">
        <f>+H$12</f>
        <v>2017</v>
      </c>
      <c r="G130" s="185">
        <f>+J$12</f>
        <v>2016</v>
      </c>
      <c r="H130" s="185" t="str">
        <f>+F130</f>
        <v>2017</v>
      </c>
      <c r="I130" s="185">
        <f>G130</f>
        <v>2016</v>
      </c>
      <c r="J130" s="176" t="str">
        <f>+F130</f>
        <v>2017</v>
      </c>
      <c r="K130" s="176">
        <f>I130</f>
        <v>2016</v>
      </c>
    </row>
    <row r="131" spans="1:11" ht="12.75" customHeight="1" x14ac:dyDescent="0.3">
      <c r="A131" s="230" t="s">
        <v>445</v>
      </c>
      <c r="B131" s="823">
        <f>SUM(B132:C133)</f>
        <v>0</v>
      </c>
      <c r="C131" s="823"/>
      <c r="D131" s="823">
        <f>SUM(D132:E133)</f>
        <v>0</v>
      </c>
      <c r="E131" s="823"/>
      <c r="F131" s="231">
        <f t="shared" ref="F131:K131" si="6">SUM(F132:F133)</f>
        <v>0</v>
      </c>
      <c r="G131" s="231">
        <f t="shared" si="6"/>
        <v>0</v>
      </c>
      <c r="H131" s="231">
        <f t="shared" si="6"/>
        <v>0</v>
      </c>
      <c r="I131" s="231">
        <f t="shared" si="6"/>
        <v>0</v>
      </c>
      <c r="J131" s="231">
        <f t="shared" si="6"/>
        <v>0</v>
      </c>
      <c r="K131" s="232">
        <f t="shared" si="6"/>
        <v>0</v>
      </c>
    </row>
    <row r="132" spans="1:11" ht="12.75" customHeight="1" x14ac:dyDescent="0.3">
      <c r="A132" s="233" t="s">
        <v>446</v>
      </c>
      <c r="B132" s="770"/>
      <c r="C132" s="770"/>
      <c r="D132" s="770"/>
      <c r="E132" s="770"/>
      <c r="F132" s="197"/>
      <c r="G132" s="86"/>
      <c r="H132" s="86"/>
      <c r="I132" s="86"/>
      <c r="J132" s="86"/>
      <c r="K132" s="234"/>
    </row>
    <row r="133" spans="1:11" ht="12.75" customHeight="1" x14ac:dyDescent="0.3">
      <c r="A133" s="233" t="s">
        <v>447</v>
      </c>
      <c r="B133" s="770"/>
      <c r="C133" s="770"/>
      <c r="D133" s="770"/>
      <c r="E133" s="770"/>
      <c r="F133" s="197"/>
      <c r="G133" s="86"/>
      <c r="H133" s="86"/>
      <c r="I133" s="86"/>
      <c r="J133" s="86"/>
      <c r="K133" s="234"/>
    </row>
    <row r="134" spans="1:11" ht="12.75" customHeight="1" x14ac:dyDescent="0.3">
      <c r="A134" s="233" t="s">
        <v>448</v>
      </c>
      <c r="B134" s="822">
        <f>+B135+B139+B143</f>
        <v>0</v>
      </c>
      <c r="C134" s="822"/>
      <c r="D134" s="822">
        <f>+D135+D139+D143</f>
        <v>0</v>
      </c>
      <c r="E134" s="822"/>
      <c r="F134" s="231">
        <f t="shared" ref="F134:K134" si="7">+F135+F139+F143</f>
        <v>0</v>
      </c>
      <c r="G134" s="231">
        <f t="shared" si="7"/>
        <v>0</v>
      </c>
      <c r="H134" s="231">
        <f t="shared" si="7"/>
        <v>0</v>
      </c>
      <c r="I134" s="231">
        <f t="shared" si="7"/>
        <v>0</v>
      </c>
      <c r="J134" s="231">
        <f t="shared" si="7"/>
        <v>0</v>
      </c>
      <c r="K134" s="236">
        <f t="shared" si="7"/>
        <v>0</v>
      </c>
    </row>
    <row r="135" spans="1:11" ht="12.75" customHeight="1" x14ac:dyDescent="0.3">
      <c r="A135" s="233" t="s">
        <v>449</v>
      </c>
      <c r="B135" s="822">
        <f>+B136+B137+B138</f>
        <v>0</v>
      </c>
      <c r="C135" s="822"/>
      <c r="D135" s="822">
        <f>+D136+D137+D138</f>
        <v>0</v>
      </c>
      <c r="E135" s="822"/>
      <c r="F135" s="231">
        <f t="shared" ref="F135:K135" si="8">SUM(F136:F138)</f>
        <v>0</v>
      </c>
      <c r="G135" s="231">
        <f t="shared" si="8"/>
        <v>0</v>
      </c>
      <c r="H135" s="231">
        <f t="shared" si="8"/>
        <v>0</v>
      </c>
      <c r="I135" s="231">
        <f t="shared" si="8"/>
        <v>0</v>
      </c>
      <c r="J135" s="231">
        <f t="shared" si="8"/>
        <v>0</v>
      </c>
      <c r="K135" s="236">
        <f t="shared" si="8"/>
        <v>0</v>
      </c>
    </row>
    <row r="136" spans="1:11" ht="12.75" customHeight="1" x14ac:dyDescent="0.3">
      <c r="A136" s="233" t="s">
        <v>450</v>
      </c>
      <c r="B136" s="770"/>
      <c r="C136" s="770"/>
      <c r="D136" s="770"/>
      <c r="E136" s="770"/>
      <c r="F136" s="197"/>
      <c r="G136" s="197"/>
      <c r="H136" s="197"/>
      <c r="I136" s="197"/>
      <c r="J136" s="197"/>
      <c r="K136" s="191"/>
    </row>
    <row r="137" spans="1:11" ht="12.75" customHeight="1" x14ac:dyDescent="0.3">
      <c r="A137" s="233" t="s">
        <v>451</v>
      </c>
      <c r="B137" s="770"/>
      <c r="C137" s="770"/>
      <c r="D137" s="770"/>
      <c r="E137" s="770"/>
      <c r="F137" s="197"/>
      <c r="G137" s="197"/>
      <c r="H137" s="197"/>
      <c r="I137" s="197"/>
      <c r="J137" s="197"/>
      <c r="K137" s="191"/>
    </row>
    <row r="138" spans="1:11" ht="12.75" customHeight="1" x14ac:dyDescent="0.3">
      <c r="A138" s="233" t="s">
        <v>452</v>
      </c>
      <c r="B138" s="770"/>
      <c r="C138" s="770"/>
      <c r="D138" s="770"/>
      <c r="E138" s="770"/>
      <c r="F138" s="197"/>
      <c r="G138" s="197"/>
      <c r="H138" s="197"/>
      <c r="I138" s="197"/>
      <c r="J138" s="197"/>
      <c r="K138" s="191"/>
    </row>
    <row r="139" spans="1:11" ht="12.75" customHeight="1" x14ac:dyDescent="0.3">
      <c r="A139" s="233" t="s">
        <v>453</v>
      </c>
      <c r="B139" s="822">
        <f>+B140+B141+B142</f>
        <v>0</v>
      </c>
      <c r="C139" s="822"/>
      <c r="D139" s="822">
        <f>+D140+D141+D142</f>
        <v>0</v>
      </c>
      <c r="E139" s="822"/>
      <c r="F139" s="231">
        <f t="shared" ref="F139:K139" si="9">SUM(F140:F142)</f>
        <v>0</v>
      </c>
      <c r="G139" s="231">
        <f t="shared" si="9"/>
        <v>0</v>
      </c>
      <c r="H139" s="231">
        <f t="shared" si="9"/>
        <v>0</v>
      </c>
      <c r="I139" s="231">
        <f t="shared" si="9"/>
        <v>0</v>
      </c>
      <c r="J139" s="231">
        <f t="shared" si="9"/>
        <v>0</v>
      </c>
      <c r="K139" s="236">
        <f t="shared" si="9"/>
        <v>0</v>
      </c>
    </row>
    <row r="140" spans="1:11" ht="12.75" customHeight="1" x14ac:dyDescent="0.3">
      <c r="A140" s="233" t="s">
        <v>454</v>
      </c>
      <c r="B140" s="770"/>
      <c r="C140" s="770"/>
      <c r="D140" s="770"/>
      <c r="E140" s="770"/>
      <c r="F140" s="197"/>
      <c r="G140" s="197"/>
      <c r="H140" s="197"/>
      <c r="I140" s="197"/>
      <c r="J140" s="197"/>
      <c r="K140" s="191"/>
    </row>
    <row r="141" spans="1:11" ht="12.75" customHeight="1" x14ac:dyDescent="0.3">
      <c r="A141" s="233" t="s">
        <v>451</v>
      </c>
      <c r="B141" s="770"/>
      <c r="C141" s="770"/>
      <c r="D141" s="770"/>
      <c r="E141" s="770"/>
      <c r="F141" s="197"/>
      <c r="G141" s="197"/>
      <c r="H141" s="197"/>
      <c r="I141" s="197"/>
      <c r="J141" s="197"/>
      <c r="K141" s="191"/>
    </row>
    <row r="142" spans="1:11" ht="12.75" customHeight="1" x14ac:dyDescent="0.3">
      <c r="A142" s="233" t="s">
        <v>452</v>
      </c>
      <c r="B142" s="770"/>
      <c r="C142" s="770"/>
      <c r="D142" s="770"/>
      <c r="E142" s="770"/>
      <c r="F142" s="197"/>
      <c r="G142" s="197"/>
      <c r="H142" s="197"/>
      <c r="I142" s="197"/>
      <c r="J142" s="197"/>
      <c r="K142" s="191"/>
    </row>
    <row r="143" spans="1:11" ht="12.75" customHeight="1" x14ac:dyDescent="0.3">
      <c r="A143" s="233" t="s">
        <v>455</v>
      </c>
      <c r="B143" s="822">
        <f>+B144+B145</f>
        <v>0</v>
      </c>
      <c r="C143" s="822"/>
      <c r="D143" s="822">
        <f>+D144+D145</f>
        <v>0</v>
      </c>
      <c r="E143" s="822"/>
      <c r="F143" s="231">
        <f t="shared" ref="F143:K143" si="10">+F144+F145</f>
        <v>0</v>
      </c>
      <c r="G143" s="231">
        <f t="shared" si="10"/>
        <v>0</v>
      </c>
      <c r="H143" s="231">
        <f t="shared" si="10"/>
        <v>0</v>
      </c>
      <c r="I143" s="231">
        <f t="shared" si="10"/>
        <v>0</v>
      </c>
      <c r="J143" s="231">
        <f t="shared" si="10"/>
        <v>0</v>
      </c>
      <c r="K143" s="236">
        <f t="shared" si="10"/>
        <v>0</v>
      </c>
    </row>
    <row r="144" spans="1:11" ht="12.75" customHeight="1" x14ac:dyDescent="0.3">
      <c r="A144" s="233" t="s">
        <v>438</v>
      </c>
      <c r="B144" s="770"/>
      <c r="C144" s="770"/>
      <c r="D144" s="770"/>
      <c r="E144" s="770"/>
      <c r="F144" s="197"/>
      <c r="G144" s="86"/>
      <c r="H144" s="86"/>
      <c r="I144" s="86"/>
      <c r="J144" s="86"/>
      <c r="K144" s="234"/>
    </row>
    <row r="145" spans="1:11" ht="12.75" customHeight="1" x14ac:dyDescent="0.3">
      <c r="A145" s="237" t="s">
        <v>456</v>
      </c>
      <c r="B145" s="771"/>
      <c r="C145" s="771"/>
      <c r="D145" s="771"/>
      <c r="E145" s="771"/>
      <c r="F145" s="238"/>
      <c r="G145" s="239"/>
      <c r="H145" s="239"/>
      <c r="I145" s="239"/>
      <c r="J145" s="239"/>
      <c r="K145" s="240"/>
    </row>
    <row r="146" spans="1:11" ht="12.75" customHeight="1" x14ac:dyDescent="0.3">
      <c r="A146" s="241" t="s">
        <v>457</v>
      </c>
      <c r="B146" s="798">
        <f>B131+B134</f>
        <v>0</v>
      </c>
      <c r="C146" s="798"/>
      <c r="D146" s="798">
        <f>D131+D134</f>
        <v>0</v>
      </c>
      <c r="E146" s="798"/>
      <c r="F146" s="199">
        <f t="shared" ref="F146:K146" si="11">+F131+F134</f>
        <v>0</v>
      </c>
      <c r="G146" s="199">
        <f t="shared" si="11"/>
        <v>0</v>
      </c>
      <c r="H146" s="199">
        <f t="shared" si="11"/>
        <v>0</v>
      </c>
      <c r="I146" s="199">
        <f t="shared" si="11"/>
        <v>0</v>
      </c>
      <c r="J146" s="199">
        <f t="shared" si="11"/>
        <v>0</v>
      </c>
      <c r="K146" s="199">
        <f t="shared" si="11"/>
        <v>0</v>
      </c>
    </row>
    <row r="147" spans="1:11" ht="6" customHeight="1" x14ac:dyDescent="0.3">
      <c r="A147" s="242"/>
      <c r="B147" s="243"/>
      <c r="C147" s="243"/>
      <c r="D147" s="243"/>
      <c r="E147" s="243"/>
      <c r="F147" s="211"/>
      <c r="G147" s="211"/>
      <c r="H147" s="211"/>
      <c r="I147" s="211"/>
      <c r="J147" s="211"/>
      <c r="K147" s="211"/>
    </row>
    <row r="148" spans="1:11" ht="12.75" customHeight="1" x14ac:dyDescent="0.3">
      <c r="A148" s="241" t="s">
        <v>458</v>
      </c>
      <c r="B148" s="798">
        <f>B126-B146</f>
        <v>0</v>
      </c>
      <c r="C148" s="798"/>
      <c r="D148" s="798">
        <f>F126-D146</f>
        <v>0</v>
      </c>
      <c r="E148" s="798"/>
      <c r="F148" s="199">
        <f>H126-F146</f>
        <v>0</v>
      </c>
      <c r="G148" s="199">
        <f>J126-G146</f>
        <v>0</v>
      </c>
      <c r="H148" s="199">
        <f>H126-H146</f>
        <v>0</v>
      </c>
      <c r="I148" s="199">
        <f>J126-I146</f>
        <v>0</v>
      </c>
      <c r="J148" s="244"/>
      <c r="K148" s="244"/>
    </row>
    <row r="149" spans="1:11" ht="6" customHeight="1" x14ac:dyDescent="0.3">
      <c r="A149" s="242"/>
      <c r="B149" s="243"/>
      <c r="C149" s="243"/>
      <c r="D149" s="243"/>
      <c r="E149" s="243"/>
      <c r="F149" s="211"/>
      <c r="G149" s="211"/>
      <c r="H149" s="211"/>
      <c r="I149" s="211"/>
      <c r="J149" s="211"/>
      <c r="K149" s="211"/>
    </row>
    <row r="150" spans="1:11" ht="12.75" customHeight="1" x14ac:dyDescent="0.3">
      <c r="A150" s="241" t="s">
        <v>459</v>
      </c>
      <c r="B150" s="798" t="s">
        <v>414</v>
      </c>
      <c r="C150" s="798"/>
      <c r="D150" s="798"/>
      <c r="E150" s="798"/>
      <c r="F150" s="798"/>
      <c r="G150" s="798"/>
      <c r="H150" s="798"/>
      <c r="I150" s="798"/>
      <c r="J150" s="798"/>
      <c r="K150" s="798"/>
    </row>
    <row r="151" spans="1:11" ht="12.75" customHeight="1" x14ac:dyDescent="0.3">
      <c r="A151" s="242" t="s">
        <v>460</v>
      </c>
      <c r="B151" s="821"/>
      <c r="C151" s="821"/>
      <c r="D151" s="821"/>
      <c r="E151" s="821"/>
      <c r="F151" s="821"/>
      <c r="G151" s="821"/>
      <c r="H151" s="821"/>
      <c r="I151" s="821"/>
      <c r="J151" s="821"/>
      <c r="K151" s="821"/>
    </row>
    <row r="152" spans="1:11" ht="12.75" customHeight="1" x14ac:dyDescent="0.3">
      <c r="A152" s="245" t="s">
        <v>461</v>
      </c>
      <c r="B152" s="819"/>
      <c r="C152" s="819"/>
      <c r="D152" s="819"/>
      <c r="E152" s="819"/>
      <c r="F152" s="819"/>
      <c r="G152" s="819"/>
      <c r="H152" s="819"/>
      <c r="I152" s="819"/>
      <c r="J152" s="819"/>
      <c r="K152" s="819"/>
    </row>
    <row r="153" spans="1:11" ht="19.149999999999999" customHeight="1" x14ac:dyDescent="0.3">
      <c r="A153" s="820" t="s">
        <v>155</v>
      </c>
      <c r="B153" s="820"/>
      <c r="C153" s="820"/>
      <c r="D153" s="820"/>
      <c r="E153" s="820"/>
      <c r="F153" s="820"/>
      <c r="G153" s="820"/>
      <c r="H153" s="820"/>
      <c r="I153" s="820"/>
      <c r="J153" s="820"/>
      <c r="K153" s="820"/>
    </row>
  </sheetData>
  <sheetProtection password="F3F6" sheet="1"/>
  <mergeCells count="394">
    <mergeCell ref="A3:F3"/>
    <mergeCell ref="A4:F4"/>
    <mergeCell ref="A5:F5"/>
    <mergeCell ref="A6:F6"/>
    <mergeCell ref="A7:F7"/>
    <mergeCell ref="A10:A12"/>
    <mergeCell ref="B10:E12"/>
    <mergeCell ref="F10:G12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B31:E31"/>
    <mergeCell ref="F31:G31"/>
    <mergeCell ref="H31:I31"/>
    <mergeCell ref="J31:K31"/>
    <mergeCell ref="B32:E32"/>
    <mergeCell ref="F32:G32"/>
    <mergeCell ref="H32:I32"/>
    <mergeCell ref="J32:K32"/>
    <mergeCell ref="B33:E33"/>
    <mergeCell ref="F33:G33"/>
    <mergeCell ref="H33:I33"/>
    <mergeCell ref="J33:K33"/>
    <mergeCell ref="B34:E34"/>
    <mergeCell ref="F34:G34"/>
    <mergeCell ref="H34:I34"/>
    <mergeCell ref="J34:K34"/>
    <mergeCell ref="B35:E35"/>
    <mergeCell ref="F35:G35"/>
    <mergeCell ref="H35:I35"/>
    <mergeCell ref="J35:K35"/>
    <mergeCell ref="B36:E36"/>
    <mergeCell ref="F36:G36"/>
    <mergeCell ref="H36:I36"/>
    <mergeCell ref="J36:K36"/>
    <mergeCell ref="B37:E37"/>
    <mergeCell ref="F37:G37"/>
    <mergeCell ref="H37:I37"/>
    <mergeCell ref="J37:K37"/>
    <mergeCell ref="B38:E38"/>
    <mergeCell ref="F38:G38"/>
    <mergeCell ref="H38:I38"/>
    <mergeCell ref="J38:K38"/>
    <mergeCell ref="B39:E39"/>
    <mergeCell ref="F39:G39"/>
    <mergeCell ref="H39:I39"/>
    <mergeCell ref="J39:K39"/>
    <mergeCell ref="B40:E40"/>
    <mergeCell ref="F40:G40"/>
    <mergeCell ref="H40:I40"/>
    <mergeCell ref="J40:K40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F43:G43"/>
    <mergeCell ref="H43:I43"/>
    <mergeCell ref="J43:K43"/>
    <mergeCell ref="B44:E44"/>
    <mergeCell ref="F44:G44"/>
    <mergeCell ref="H44:I44"/>
    <mergeCell ref="J44:K44"/>
    <mergeCell ref="B45:E45"/>
    <mergeCell ref="F45:G45"/>
    <mergeCell ref="H45:I45"/>
    <mergeCell ref="J45:K45"/>
    <mergeCell ref="B46:E46"/>
    <mergeCell ref="F46:G46"/>
    <mergeCell ref="H46:I46"/>
    <mergeCell ref="J46:K46"/>
    <mergeCell ref="A48:A50"/>
    <mergeCell ref="B48:C50"/>
    <mergeCell ref="D48:E50"/>
    <mergeCell ref="F48:G48"/>
    <mergeCell ref="H48:I48"/>
    <mergeCell ref="J48:K48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8:C68"/>
    <mergeCell ref="D68:E68"/>
    <mergeCell ref="B70:K70"/>
    <mergeCell ref="B71:K71"/>
    <mergeCell ref="B73:K73"/>
    <mergeCell ref="B74:K74"/>
    <mergeCell ref="A76:A78"/>
    <mergeCell ref="B76:K78"/>
    <mergeCell ref="B79:K79"/>
    <mergeCell ref="B80:K80"/>
    <mergeCell ref="B81:K81"/>
    <mergeCell ref="B82:K82"/>
    <mergeCell ref="A84:A85"/>
    <mergeCell ref="B84:K84"/>
    <mergeCell ref="B85:G85"/>
    <mergeCell ref="H85:K85"/>
    <mergeCell ref="B86:G86"/>
    <mergeCell ref="H86:K86"/>
    <mergeCell ref="B87:G87"/>
    <mergeCell ref="H87:K87"/>
    <mergeCell ref="B88:G88"/>
    <mergeCell ref="H88:K88"/>
    <mergeCell ref="A90:K90"/>
    <mergeCell ref="A91:A93"/>
    <mergeCell ref="B91:E93"/>
    <mergeCell ref="F91:G93"/>
    <mergeCell ref="H91:K91"/>
    <mergeCell ref="H92:I92"/>
    <mergeCell ref="J92:K92"/>
    <mergeCell ref="H93:I93"/>
    <mergeCell ref="J93:K93"/>
    <mergeCell ref="B94:E94"/>
    <mergeCell ref="F94:G94"/>
    <mergeCell ref="H94:I94"/>
    <mergeCell ref="J94:K94"/>
    <mergeCell ref="B95:E95"/>
    <mergeCell ref="F95:G95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8:E98"/>
    <mergeCell ref="F98:G98"/>
    <mergeCell ref="H98:I98"/>
    <mergeCell ref="J98:K98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A128:A130"/>
    <mergeCell ref="B128:C130"/>
    <mergeCell ref="D128:E130"/>
    <mergeCell ref="F128:G128"/>
    <mergeCell ref="H128:I128"/>
    <mergeCell ref="J128:K128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52:K152"/>
    <mergeCell ref="A153:K153"/>
    <mergeCell ref="B146:C146"/>
    <mergeCell ref="D146:E146"/>
    <mergeCell ref="B148:C148"/>
    <mergeCell ref="D148:E148"/>
    <mergeCell ref="B150:K150"/>
    <mergeCell ref="B151:K151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25" zoomScale="80" zoomScaleNormal="80" workbookViewId="0">
      <selection activeCell="D17" sqref="D17:E17"/>
    </sheetView>
  </sheetViews>
  <sheetFormatPr defaultColWidth="9.1796875" defaultRowHeight="11.25" customHeight="1" x14ac:dyDescent="0.3"/>
  <cols>
    <col min="1" max="1" width="59.54296875" style="132" customWidth="1"/>
    <col min="2" max="7" width="12.7265625" style="132" customWidth="1"/>
    <col min="8" max="16384" width="9.1796875" style="132"/>
  </cols>
  <sheetData>
    <row r="1" spans="1:7" ht="15.75" customHeight="1" x14ac:dyDescent="0.3">
      <c r="A1" s="133" t="s">
        <v>462</v>
      </c>
      <c r="D1" s="137"/>
      <c r="E1" s="137"/>
    </row>
    <row r="2" spans="1:7" ht="12.75" customHeight="1" x14ac:dyDescent="0.3">
      <c r="D2" s="137"/>
      <c r="E2" s="137"/>
    </row>
    <row r="3" spans="1:7" ht="12.75" customHeight="1" x14ac:dyDescent="0.3">
      <c r="A3" s="804" t="str">
        <f>+'Informações Iniciais'!A1:B1</f>
        <v>ESTADO DO MARANHÃO - PREFEITURA MUNICIPAL DE DAVINOPOLIS</v>
      </c>
      <c r="B3" s="804"/>
      <c r="C3" s="804"/>
      <c r="D3" s="804"/>
      <c r="E3" s="804"/>
      <c r="F3" s="804"/>
      <c r="G3" s="804"/>
    </row>
    <row r="4" spans="1:7" ht="12.75" customHeight="1" x14ac:dyDescent="0.3">
      <c r="A4" s="804" t="s">
        <v>1</v>
      </c>
      <c r="B4" s="804"/>
      <c r="C4" s="804"/>
      <c r="D4" s="804"/>
      <c r="E4" s="804"/>
      <c r="F4" s="804"/>
      <c r="G4" s="804"/>
    </row>
    <row r="5" spans="1:7" ht="12.75" customHeight="1" x14ac:dyDescent="0.3">
      <c r="A5" s="803" t="s">
        <v>463</v>
      </c>
      <c r="B5" s="803"/>
      <c r="C5" s="803"/>
      <c r="D5" s="803"/>
      <c r="E5" s="803"/>
      <c r="F5" s="803"/>
      <c r="G5" s="803"/>
    </row>
    <row r="6" spans="1:7" ht="12.75" customHeight="1" x14ac:dyDescent="0.3">
      <c r="A6" s="804" t="s">
        <v>30</v>
      </c>
      <c r="B6" s="804"/>
      <c r="C6" s="804"/>
      <c r="D6" s="804"/>
      <c r="E6" s="804"/>
      <c r="F6" s="804"/>
      <c r="G6" s="804"/>
    </row>
    <row r="7" spans="1:7" ht="12.75" customHeight="1" x14ac:dyDescent="0.3">
      <c r="A7" s="804" t="str">
        <f>+'Informações Iniciais'!A5:B5</f>
        <v>2º Bimestre de 2017</v>
      </c>
      <c r="B7" s="804"/>
      <c r="C7" s="804"/>
      <c r="D7" s="804"/>
      <c r="E7" s="804"/>
      <c r="F7" s="804"/>
      <c r="G7" s="804"/>
    </row>
    <row r="8" spans="1:7" ht="12.75" customHeight="1" x14ac:dyDescent="0.3">
      <c r="A8" s="145"/>
      <c r="B8" s="145"/>
      <c r="C8" s="145"/>
      <c r="D8" s="145"/>
      <c r="E8" s="145"/>
      <c r="F8" s="145"/>
      <c r="G8" s="145"/>
    </row>
    <row r="9" spans="1:7" ht="12.75" customHeight="1" x14ac:dyDescent="0.3">
      <c r="A9" s="132" t="s">
        <v>464</v>
      </c>
      <c r="D9" s="167"/>
      <c r="E9" s="137"/>
      <c r="G9" s="139" t="s">
        <v>32</v>
      </c>
    </row>
    <row r="10" spans="1:7" ht="12.75" customHeight="1" x14ac:dyDescent="0.3">
      <c r="A10" s="246"/>
      <c r="B10" s="247"/>
      <c r="C10" s="248"/>
      <c r="D10" s="874" t="s">
        <v>37</v>
      </c>
      <c r="E10" s="874"/>
      <c r="F10" s="248"/>
      <c r="G10" s="249"/>
    </row>
    <row r="11" spans="1:7" ht="12.75" customHeight="1" x14ac:dyDescent="0.3">
      <c r="A11" s="250" t="s">
        <v>465</v>
      </c>
      <c r="B11" s="868" t="s">
        <v>466</v>
      </c>
      <c r="C11" s="868"/>
      <c r="D11" s="869" t="s">
        <v>467</v>
      </c>
      <c r="E11" s="869"/>
      <c r="F11" s="870" t="s">
        <v>468</v>
      </c>
      <c r="G11" s="870"/>
    </row>
    <row r="12" spans="1:7" ht="12.75" customHeight="1" x14ac:dyDescent="0.3">
      <c r="A12" s="251"/>
      <c r="B12" s="871" t="s">
        <v>41</v>
      </c>
      <c r="C12" s="871"/>
      <c r="D12" s="872" t="s">
        <v>42</v>
      </c>
      <c r="E12" s="872"/>
      <c r="F12" s="873" t="s">
        <v>44</v>
      </c>
      <c r="G12" s="873"/>
    </row>
    <row r="13" spans="1:7" ht="12.75" customHeight="1" x14ac:dyDescent="0.3">
      <c r="A13" s="24" t="s">
        <v>469</v>
      </c>
      <c r="B13" s="770"/>
      <c r="C13" s="770"/>
      <c r="D13" s="770"/>
      <c r="E13" s="770"/>
      <c r="F13" s="770"/>
      <c r="G13" s="770"/>
    </row>
    <row r="14" spans="1:7" ht="12.75" customHeight="1" x14ac:dyDescent="0.3">
      <c r="A14" s="24" t="s">
        <v>359</v>
      </c>
      <c r="B14" s="822">
        <f>+B15+B18</f>
        <v>0</v>
      </c>
      <c r="C14" s="822"/>
      <c r="D14" s="822">
        <f>+D15+D18</f>
        <v>0</v>
      </c>
      <c r="E14" s="822"/>
      <c r="F14" s="822">
        <f>+F15+F18</f>
        <v>0</v>
      </c>
      <c r="G14" s="822"/>
    </row>
    <row r="15" spans="1:7" ht="12.75" customHeight="1" x14ac:dyDescent="0.3">
      <c r="A15" s="252" t="s">
        <v>470</v>
      </c>
      <c r="B15" s="822">
        <f>IF(ABS(B17)&gt;B16,0,B16-ABS(B17))</f>
        <v>0</v>
      </c>
      <c r="C15" s="822"/>
      <c r="D15" s="822">
        <f>IF(ABS(D17)&gt;D16,0,D16-ABS(D17))</f>
        <v>0</v>
      </c>
      <c r="E15" s="822"/>
      <c r="F15" s="822">
        <f>IF(ABS(F17)&gt;F16,0,F16-ABS(F17))</f>
        <v>0</v>
      </c>
      <c r="G15" s="822"/>
    </row>
    <row r="16" spans="1:7" ht="12.75" customHeight="1" x14ac:dyDescent="0.3">
      <c r="A16" s="252" t="s">
        <v>471</v>
      </c>
      <c r="B16" s="770">
        <v>1120589.58</v>
      </c>
      <c r="C16" s="770"/>
      <c r="D16" s="770">
        <v>2127407.42</v>
      </c>
      <c r="E16" s="770"/>
      <c r="F16" s="770">
        <v>2075532.55</v>
      </c>
      <c r="G16" s="770"/>
    </row>
    <row r="17" spans="1:9" ht="12.75" customHeight="1" x14ac:dyDescent="0.3">
      <c r="A17" s="252" t="s">
        <v>472</v>
      </c>
      <c r="B17" s="770">
        <v>-1975202.64</v>
      </c>
      <c r="C17" s="770"/>
      <c r="D17" s="770">
        <v>-2437871.29</v>
      </c>
      <c r="E17" s="770"/>
      <c r="F17" s="770">
        <v>-2515505.7000000002</v>
      </c>
      <c r="G17" s="770"/>
    </row>
    <row r="18" spans="1:9" ht="12.75" customHeight="1" x14ac:dyDescent="0.3">
      <c r="A18" s="252" t="s">
        <v>473</v>
      </c>
      <c r="B18" s="770"/>
      <c r="C18" s="770"/>
      <c r="D18" s="770"/>
      <c r="E18" s="770"/>
      <c r="F18" s="770"/>
      <c r="G18" s="770"/>
    </row>
    <row r="19" spans="1:9" ht="12.75" customHeight="1" x14ac:dyDescent="0.3">
      <c r="A19" s="24" t="s">
        <v>474</v>
      </c>
      <c r="B19" s="822">
        <f>IF(ABS(B14)&gt;B13,0,B13-ABS(B14))</f>
        <v>0</v>
      </c>
      <c r="C19" s="822"/>
      <c r="D19" s="822">
        <f>IF(ABS(D14)&gt;D13,0,D13-ABS(D14))</f>
        <v>0</v>
      </c>
      <c r="E19" s="822"/>
      <c r="F19" s="822">
        <f>IF(ABS(F14)&gt;F13,0,F13-ABS(F14))</f>
        <v>0</v>
      </c>
      <c r="G19" s="822"/>
    </row>
    <row r="20" spans="1:9" ht="12.75" customHeight="1" x14ac:dyDescent="0.3">
      <c r="A20" s="24" t="s">
        <v>475</v>
      </c>
      <c r="B20" s="770"/>
      <c r="C20" s="770"/>
      <c r="D20" s="770"/>
      <c r="E20" s="770"/>
      <c r="F20" s="770"/>
      <c r="G20" s="770"/>
    </row>
    <row r="21" spans="1:9" ht="12.75" customHeight="1" x14ac:dyDescent="0.3">
      <c r="A21" s="24" t="s">
        <v>476</v>
      </c>
      <c r="B21" s="770"/>
      <c r="C21" s="770"/>
      <c r="D21" s="770"/>
      <c r="E21" s="770"/>
      <c r="F21" s="770"/>
      <c r="G21" s="770"/>
    </row>
    <row r="22" spans="1:9" ht="12.75" customHeight="1" x14ac:dyDescent="0.3">
      <c r="A22" s="253" t="s">
        <v>477</v>
      </c>
      <c r="B22" s="790">
        <f>B19+B20-B21</f>
        <v>0</v>
      </c>
      <c r="C22" s="790"/>
      <c r="D22" s="790">
        <f>D19+D20-D21</f>
        <v>0</v>
      </c>
      <c r="E22" s="790"/>
      <c r="F22" s="790">
        <f>F19+F20-F21</f>
        <v>0</v>
      </c>
      <c r="G22" s="790"/>
    </row>
    <row r="23" spans="1:9" ht="12.75" customHeight="1" x14ac:dyDescent="0.3">
      <c r="A23" s="136"/>
      <c r="B23" s="865">
        <f>IF(B17&lt;0,SUM(B15:C18),+B15+B18-B17)</f>
        <v>-854613.05999999982</v>
      </c>
      <c r="C23" s="865"/>
      <c r="D23" s="865">
        <f>IF(D17&lt;0,SUM(D15:E18),+D15+D18-D17)</f>
        <v>-310463.87000000011</v>
      </c>
      <c r="E23" s="865"/>
      <c r="F23" s="865">
        <f>IF(F17&lt;0,SUM(F15:G18),+F15+F18-F17)</f>
        <v>-439973.15000000014</v>
      </c>
      <c r="G23" s="865"/>
    </row>
    <row r="24" spans="1:9" ht="12.75" customHeight="1" x14ac:dyDescent="0.3">
      <c r="A24" s="805" t="s">
        <v>478</v>
      </c>
      <c r="B24" s="254"/>
      <c r="C24" s="255"/>
      <c r="D24" s="866" t="s">
        <v>420</v>
      </c>
      <c r="E24" s="866"/>
      <c r="F24" s="255"/>
      <c r="G24" s="256"/>
    </row>
    <row r="25" spans="1:9" ht="12.75" customHeight="1" x14ac:dyDescent="0.3">
      <c r="A25" s="805"/>
      <c r="B25" s="257"/>
      <c r="C25" s="258" t="s">
        <v>38</v>
      </c>
      <c r="D25" s="259"/>
      <c r="E25" s="257"/>
      <c r="F25" s="258" t="s">
        <v>40</v>
      </c>
      <c r="G25" s="259"/>
    </row>
    <row r="26" spans="1:9" ht="12.75" customHeight="1" x14ac:dyDescent="0.3">
      <c r="A26" s="805"/>
      <c r="B26" s="260"/>
      <c r="C26" s="261" t="s">
        <v>479</v>
      </c>
      <c r="D26" s="262"/>
      <c r="E26" s="260"/>
      <c r="F26" s="261" t="s">
        <v>480</v>
      </c>
      <c r="G26" s="262"/>
    </row>
    <row r="27" spans="1:9" ht="12.75" customHeight="1" x14ac:dyDescent="0.3">
      <c r="A27" s="263" t="s">
        <v>411</v>
      </c>
      <c r="B27" s="867">
        <f>F22-D22</f>
        <v>0</v>
      </c>
      <c r="C27" s="867"/>
      <c r="D27" s="867"/>
      <c r="E27" s="867">
        <f>F22-B22</f>
        <v>0</v>
      </c>
      <c r="F27" s="867"/>
      <c r="G27" s="867"/>
    </row>
    <row r="28" spans="1:9" ht="12.75" customHeight="1" x14ac:dyDescent="0.3">
      <c r="A28" s="24"/>
      <c r="B28" s="18"/>
      <c r="C28" s="18"/>
      <c r="D28" s="18"/>
      <c r="E28" s="18"/>
      <c r="F28" s="18"/>
      <c r="G28" s="127"/>
    </row>
    <row r="29" spans="1:9" ht="11.25" customHeight="1" x14ac:dyDescent="0.3">
      <c r="A29" s="861" t="s">
        <v>481</v>
      </c>
      <c r="B29" s="861"/>
      <c r="C29" s="861"/>
      <c r="D29" s="861"/>
      <c r="E29" s="862" t="s">
        <v>482</v>
      </c>
      <c r="F29" s="862"/>
      <c r="G29" s="862"/>
    </row>
    <row r="30" spans="1:9" ht="11.25" customHeight="1" x14ac:dyDescent="0.3">
      <c r="A30" s="861"/>
      <c r="B30" s="861"/>
      <c r="C30" s="861"/>
      <c r="D30" s="861"/>
      <c r="E30" s="862"/>
      <c r="F30" s="862"/>
      <c r="G30" s="862"/>
    </row>
    <row r="31" spans="1:9" ht="12.75" customHeight="1" x14ac:dyDescent="0.3">
      <c r="A31" s="263" t="s">
        <v>483</v>
      </c>
      <c r="B31" s="264"/>
      <c r="C31" s="264"/>
      <c r="D31" s="264"/>
      <c r="E31" s="863"/>
      <c r="F31" s="863"/>
      <c r="G31" s="863"/>
    </row>
    <row r="32" spans="1:9" ht="12.75" customHeight="1" x14ac:dyDescent="0.3">
      <c r="A32" s="864" t="s">
        <v>155</v>
      </c>
      <c r="B32" s="864"/>
      <c r="C32" s="864"/>
      <c r="D32" s="864"/>
      <c r="E32" s="864"/>
      <c r="F32" s="864"/>
      <c r="G32" s="864"/>
      <c r="H32" s="265"/>
      <c r="I32" s="265"/>
    </row>
  </sheetData>
  <sheetProtection password="F3F6" sheet="1" selectLockedCells="1"/>
  <mergeCells count="53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E27:G27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3"/>
  <sheetViews>
    <sheetView showGridLines="0" topLeftCell="A43" zoomScale="80" zoomScaleNormal="80" workbookViewId="0">
      <selection activeCell="F65" sqref="F65"/>
    </sheetView>
  </sheetViews>
  <sheetFormatPr defaultColWidth="16.7265625" defaultRowHeight="11.25" customHeight="1" x14ac:dyDescent="0.25"/>
  <cols>
    <col min="1" max="1" width="55" style="266" customWidth="1"/>
    <col min="2" max="2" width="18.1796875" style="266" customWidth="1"/>
    <col min="3" max="3" width="18.1796875" style="267" customWidth="1"/>
    <col min="4" max="6" width="18.1796875" style="266" customWidth="1"/>
    <col min="7" max="8" width="17.81640625" style="266" customWidth="1"/>
    <col min="9" max="254" width="7.81640625" style="266" customWidth="1"/>
    <col min="255" max="255" width="55" style="266" customWidth="1"/>
    <col min="256" max="16384" width="16.7265625" style="266"/>
  </cols>
  <sheetData>
    <row r="1" spans="1:157" ht="11.25" customHeight="1" x14ac:dyDescent="0.3">
      <c r="A1" s="28" t="s">
        <v>484</v>
      </c>
    </row>
    <row r="2" spans="1:157" ht="11.25" customHeight="1" x14ac:dyDescent="0.25">
      <c r="A2" s="177"/>
      <c r="B2" s="177"/>
      <c r="C2" s="252"/>
      <c r="D2" s="177"/>
    </row>
    <row r="3" spans="1:157" ht="13.15" customHeight="1" x14ac:dyDescent="0.3">
      <c r="A3" s="804" t="str">
        <f>+'Informações Iniciais'!A1:B1</f>
        <v>ESTADO DO MARANHÃO - PREFEITURA MUNICIPAL DE DAVINOPOLIS</v>
      </c>
      <c r="B3" s="804"/>
      <c r="C3" s="804"/>
      <c r="D3" s="804"/>
    </row>
    <row r="4" spans="1:157" ht="13.15" customHeight="1" x14ac:dyDescent="0.3">
      <c r="A4" s="804" t="s">
        <v>1</v>
      </c>
      <c r="B4" s="804"/>
      <c r="C4" s="804"/>
      <c r="D4" s="804"/>
    </row>
    <row r="5" spans="1:157" ht="13.15" customHeight="1" x14ac:dyDescent="0.3">
      <c r="A5" s="803" t="s">
        <v>485</v>
      </c>
      <c r="B5" s="803"/>
      <c r="C5" s="803"/>
      <c r="D5" s="803"/>
    </row>
    <row r="6" spans="1:157" ht="13.15" customHeight="1" x14ac:dyDescent="0.3">
      <c r="A6" s="804" t="s">
        <v>30</v>
      </c>
      <c r="B6" s="804"/>
      <c r="C6" s="804"/>
      <c r="D6" s="804"/>
    </row>
    <row r="7" spans="1:157" ht="13.15" customHeight="1" x14ac:dyDescent="0.3">
      <c r="A7" s="804" t="str">
        <f>+'Informações Iniciais'!A5:B5</f>
        <v>2º Bimestre de 2017</v>
      </c>
      <c r="B7" s="804"/>
      <c r="C7" s="804"/>
      <c r="D7" s="804"/>
    </row>
    <row r="8" spans="1:157" ht="11.25" customHeight="1" x14ac:dyDescent="0.3">
      <c r="A8" s="136"/>
      <c r="B8" s="136"/>
      <c r="C8" s="136"/>
      <c r="D8" s="136"/>
    </row>
    <row r="9" spans="1:157" ht="11.25" customHeight="1" x14ac:dyDescent="0.3">
      <c r="A9" s="268" t="s">
        <v>486</v>
      </c>
      <c r="B9" s="269"/>
      <c r="C9" s="270"/>
      <c r="D9" s="269"/>
      <c r="E9" s="269"/>
      <c r="F9" s="269"/>
      <c r="G9" s="269"/>
      <c r="H9" s="139" t="s">
        <v>487</v>
      </c>
    </row>
    <row r="10" spans="1:157" ht="11.25" customHeight="1" x14ac:dyDescent="0.25">
      <c r="A10" s="271"/>
      <c r="B10" s="811" t="s">
        <v>35</v>
      </c>
      <c r="C10" s="811"/>
      <c r="D10" s="826" t="s">
        <v>36</v>
      </c>
      <c r="E10" s="826"/>
      <c r="F10" s="826"/>
      <c r="G10" s="826"/>
      <c r="H10" s="826"/>
    </row>
    <row r="11" spans="1:157" ht="11.25" customHeight="1" x14ac:dyDescent="0.25">
      <c r="A11" s="272" t="s">
        <v>488</v>
      </c>
      <c r="B11" s="811"/>
      <c r="C11" s="811"/>
      <c r="D11" s="812" t="s">
        <v>369</v>
      </c>
      <c r="E11" s="812"/>
      <c r="F11" s="887" t="s">
        <v>369</v>
      </c>
      <c r="G11" s="887"/>
      <c r="H11" s="887"/>
      <c r="I11" s="252"/>
    </row>
    <row r="12" spans="1:157" ht="11.25" customHeight="1" x14ac:dyDescent="0.3">
      <c r="A12" s="273"/>
      <c r="B12" s="811"/>
      <c r="C12" s="811"/>
      <c r="D12" s="836" t="str">
        <f>IF(A7="&lt;SELECIONE O PERÍODO CLICANDO NA SETA AO LADO&gt;","&lt;Exercício&gt;",RIGHT(A7,4))</f>
        <v>2017</v>
      </c>
      <c r="E12" s="836"/>
      <c r="F12" s="885">
        <f>IF(FA12=FALSE,"&lt;Exercício Anterior&gt;",D12-1)</f>
        <v>2016</v>
      </c>
      <c r="G12" s="885"/>
      <c r="H12" s="885"/>
      <c r="I12" s="252"/>
      <c r="FA12" s="177" t="b">
        <f>ISNUMBER(D12*1)</f>
        <v>1</v>
      </c>
    </row>
    <row r="13" spans="1:157" ht="11.25" customHeight="1" x14ac:dyDescent="0.3">
      <c r="A13" s="18" t="s">
        <v>489</v>
      </c>
      <c r="B13" s="822">
        <f t="shared" ref="B13:H13" si="0">B14+B20+B23+B26+B32</f>
        <v>41477832.019999996</v>
      </c>
      <c r="C13" s="822">
        <f t="shared" si="0"/>
        <v>8818805.3900000006</v>
      </c>
      <c r="D13" s="822">
        <f t="shared" si="0"/>
        <v>8844181.4700000007</v>
      </c>
      <c r="E13" s="822">
        <f t="shared" si="0"/>
        <v>8902908.8500000015</v>
      </c>
      <c r="F13" s="883">
        <f t="shared" si="0"/>
        <v>8952568.1900000013</v>
      </c>
      <c r="G13" s="883">
        <f t="shared" si="0"/>
        <v>0</v>
      </c>
      <c r="H13" s="883">
        <f t="shared" si="0"/>
        <v>0</v>
      </c>
      <c r="I13" s="235"/>
    </row>
    <row r="14" spans="1:157" ht="11.25" customHeight="1" x14ac:dyDescent="0.3">
      <c r="A14" s="18" t="s">
        <v>490</v>
      </c>
      <c r="B14" s="886">
        <f t="shared" ref="B14:H14" si="1">SUM(B15:C19)</f>
        <v>515074.07</v>
      </c>
      <c r="C14" s="886">
        <f t="shared" si="1"/>
        <v>335843.48999999993</v>
      </c>
      <c r="D14" s="886">
        <f t="shared" si="1"/>
        <v>335843.48999999993</v>
      </c>
      <c r="E14" s="886">
        <f t="shared" si="1"/>
        <v>202006.38</v>
      </c>
      <c r="F14" s="886">
        <f t="shared" si="1"/>
        <v>202006.38</v>
      </c>
      <c r="G14" s="886">
        <f t="shared" si="1"/>
        <v>0</v>
      </c>
      <c r="H14" s="886">
        <f t="shared" si="1"/>
        <v>0</v>
      </c>
      <c r="I14" s="137"/>
    </row>
    <row r="15" spans="1:157" ht="11.25" customHeight="1" x14ac:dyDescent="0.3">
      <c r="A15" s="274" t="s">
        <v>339</v>
      </c>
      <c r="B15" s="884">
        <v>9918.75</v>
      </c>
      <c r="C15" s="884"/>
      <c r="D15" s="882"/>
      <c r="E15" s="882"/>
      <c r="F15" s="882"/>
      <c r="G15" s="882"/>
      <c r="H15" s="882"/>
      <c r="I15" s="137"/>
    </row>
    <row r="16" spans="1:157" ht="11.25" customHeight="1" x14ac:dyDescent="0.3">
      <c r="A16" s="274" t="s">
        <v>340</v>
      </c>
      <c r="B16" s="884">
        <v>300829.07</v>
      </c>
      <c r="C16" s="884"/>
      <c r="D16" s="882">
        <v>297218.03999999998</v>
      </c>
      <c r="E16" s="882"/>
      <c r="F16" s="882">
        <v>164549.39000000001</v>
      </c>
      <c r="G16" s="882"/>
      <c r="H16" s="882"/>
      <c r="I16" s="137"/>
    </row>
    <row r="17" spans="1:157" ht="11.25" customHeight="1" x14ac:dyDescent="0.3">
      <c r="A17" s="274" t="s">
        <v>341</v>
      </c>
      <c r="B17" s="884">
        <v>17192.5</v>
      </c>
      <c r="C17" s="884"/>
      <c r="D17" s="882">
        <v>12529.41</v>
      </c>
      <c r="E17" s="882"/>
      <c r="F17" s="882">
        <v>480</v>
      </c>
      <c r="G17" s="882"/>
      <c r="H17" s="882"/>
      <c r="I17" s="137"/>
    </row>
    <row r="18" spans="1:157" ht="11.25" customHeight="1" x14ac:dyDescent="0.3">
      <c r="A18" s="274" t="s">
        <v>342</v>
      </c>
      <c r="B18" s="884">
        <v>118496</v>
      </c>
      <c r="C18" s="884"/>
      <c r="D18" s="882"/>
      <c r="E18" s="882"/>
      <c r="F18" s="882"/>
      <c r="G18" s="882"/>
      <c r="H18" s="882"/>
      <c r="I18" s="137"/>
    </row>
    <row r="19" spans="1:157" ht="11.25" customHeight="1" x14ac:dyDescent="0.3">
      <c r="A19" s="274" t="s">
        <v>343</v>
      </c>
      <c r="B19" s="884">
        <v>68637.75</v>
      </c>
      <c r="C19" s="884"/>
      <c r="D19" s="882">
        <v>26096.04</v>
      </c>
      <c r="E19" s="882"/>
      <c r="F19" s="882">
        <v>36976.99</v>
      </c>
      <c r="G19" s="882"/>
      <c r="H19" s="882"/>
      <c r="I19" s="137"/>
    </row>
    <row r="20" spans="1:157" ht="11.25" customHeight="1" x14ac:dyDescent="0.3">
      <c r="A20" s="18" t="s">
        <v>491</v>
      </c>
      <c r="B20" s="822">
        <f t="shared" ref="B20:H20" si="2">SUM(B21:C22)</f>
        <v>211110.68</v>
      </c>
      <c r="C20" s="822">
        <f t="shared" si="2"/>
        <v>1054.08</v>
      </c>
      <c r="D20" s="883">
        <f t="shared" si="2"/>
        <v>1054.08</v>
      </c>
      <c r="E20" s="883">
        <f t="shared" si="2"/>
        <v>0</v>
      </c>
      <c r="F20" s="883">
        <f t="shared" si="2"/>
        <v>0</v>
      </c>
      <c r="G20" s="883">
        <f t="shared" si="2"/>
        <v>0</v>
      </c>
      <c r="H20" s="883">
        <f t="shared" si="2"/>
        <v>0</v>
      </c>
      <c r="I20" s="137"/>
    </row>
    <row r="21" spans="1:157" ht="11.25" customHeight="1" x14ac:dyDescent="0.3">
      <c r="A21" s="18" t="s">
        <v>492</v>
      </c>
      <c r="B21" s="882">
        <v>78860.679999999993</v>
      </c>
      <c r="C21" s="882"/>
      <c r="D21" s="882">
        <v>1054.08</v>
      </c>
      <c r="E21" s="882"/>
      <c r="F21" s="882"/>
      <c r="G21" s="882"/>
      <c r="H21" s="882"/>
      <c r="I21" s="137"/>
    </row>
    <row r="22" spans="1:157" ht="11.25" customHeight="1" x14ac:dyDescent="0.3">
      <c r="A22" s="18" t="s">
        <v>493</v>
      </c>
      <c r="B22" s="882">
        <v>132250</v>
      </c>
      <c r="C22" s="882"/>
      <c r="D22" s="882"/>
      <c r="E22" s="882"/>
      <c r="F22" s="882"/>
      <c r="G22" s="882"/>
      <c r="H22" s="882"/>
      <c r="I22" s="137"/>
    </row>
    <row r="23" spans="1:157" ht="11.25" customHeight="1" x14ac:dyDescent="0.3">
      <c r="A23" s="18" t="s">
        <v>494</v>
      </c>
      <c r="B23" s="822">
        <f>B24-ABS(B25)</f>
        <v>60372.119999999995</v>
      </c>
      <c r="C23" s="822"/>
      <c r="D23" s="822">
        <f>D24-ABS(D25)</f>
        <v>25376.080000000002</v>
      </c>
      <c r="E23" s="822">
        <f>E24-ABS(E25)</f>
        <v>0</v>
      </c>
      <c r="F23" s="883">
        <f>F24-ABS(F25)</f>
        <v>49659.34</v>
      </c>
      <c r="G23" s="883">
        <f>G24-ABS(G25)</f>
        <v>0</v>
      </c>
      <c r="H23" s="883">
        <f>H24-ABS(H25)</f>
        <v>0</v>
      </c>
      <c r="I23" s="137"/>
      <c r="FA23" s="275"/>
    </row>
    <row r="24" spans="1:157" ht="11.25" customHeight="1" x14ac:dyDescent="0.3">
      <c r="A24" s="18" t="s">
        <v>381</v>
      </c>
      <c r="B24" s="882">
        <v>100450.48</v>
      </c>
      <c r="C24" s="882"/>
      <c r="D24" s="882">
        <v>25376.080000000002</v>
      </c>
      <c r="E24" s="882"/>
      <c r="F24" s="882">
        <v>49659.34</v>
      </c>
      <c r="G24" s="882"/>
      <c r="H24" s="882"/>
      <c r="I24" s="137"/>
    </row>
    <row r="25" spans="1:157" ht="11.25" customHeight="1" x14ac:dyDescent="0.3">
      <c r="A25" s="18" t="s">
        <v>495</v>
      </c>
      <c r="B25" s="882">
        <v>40078.36</v>
      </c>
      <c r="C25" s="882"/>
      <c r="D25" s="882"/>
      <c r="E25" s="882"/>
      <c r="F25" s="882"/>
      <c r="G25" s="882"/>
      <c r="H25" s="882"/>
      <c r="I25" s="137"/>
    </row>
    <row r="26" spans="1:157" ht="11.25" customHeight="1" x14ac:dyDescent="0.3">
      <c r="A26" s="18" t="s">
        <v>349</v>
      </c>
      <c r="B26" s="822">
        <f t="shared" ref="B26:H26" si="3">SUM(B27:C31)</f>
        <v>40681693.640000001</v>
      </c>
      <c r="C26" s="822">
        <f t="shared" si="3"/>
        <v>8481907.8200000003</v>
      </c>
      <c r="D26" s="822">
        <f t="shared" si="3"/>
        <v>8481907.8200000003</v>
      </c>
      <c r="E26" s="822">
        <f t="shared" si="3"/>
        <v>8700902.4700000007</v>
      </c>
      <c r="F26" s="822">
        <f t="shared" si="3"/>
        <v>8700902.4700000007</v>
      </c>
      <c r="G26" s="822">
        <f t="shared" si="3"/>
        <v>0</v>
      </c>
      <c r="H26" s="822">
        <f t="shared" si="3"/>
        <v>0</v>
      </c>
      <c r="I26" s="137"/>
    </row>
    <row r="27" spans="1:157" ht="11.25" customHeight="1" x14ac:dyDescent="0.3">
      <c r="A27" s="276" t="s">
        <v>496</v>
      </c>
      <c r="B27" s="882">
        <v>8762435.3499999996</v>
      </c>
      <c r="C27" s="882"/>
      <c r="D27" s="882">
        <v>3071142.26</v>
      </c>
      <c r="E27" s="882"/>
      <c r="F27" s="882">
        <v>2777139.91</v>
      </c>
      <c r="G27" s="882"/>
      <c r="H27" s="882"/>
      <c r="I27" s="137"/>
    </row>
    <row r="28" spans="1:157" ht="11.25" customHeight="1" x14ac:dyDescent="0.3">
      <c r="A28" s="276" t="s">
        <v>497</v>
      </c>
      <c r="B28" s="882">
        <v>593736.39</v>
      </c>
      <c r="C28" s="882"/>
      <c r="D28" s="882">
        <v>588342.99</v>
      </c>
      <c r="E28" s="882"/>
      <c r="F28" s="882">
        <v>579889.91</v>
      </c>
      <c r="G28" s="882"/>
      <c r="H28" s="882"/>
      <c r="I28" s="137"/>
    </row>
    <row r="29" spans="1:157" ht="11.25" customHeight="1" x14ac:dyDescent="0.3">
      <c r="A29" s="276" t="s">
        <v>498</v>
      </c>
      <c r="B29" s="882"/>
      <c r="C29" s="882"/>
      <c r="D29" s="882"/>
      <c r="E29" s="882"/>
      <c r="F29" s="882"/>
      <c r="G29" s="882"/>
      <c r="H29" s="882"/>
      <c r="I29" s="137"/>
    </row>
    <row r="30" spans="1:157" ht="11.25" customHeight="1" x14ac:dyDescent="0.3">
      <c r="A30" s="18" t="s">
        <v>499</v>
      </c>
      <c r="B30" s="882"/>
      <c r="C30" s="882"/>
      <c r="D30" s="882"/>
      <c r="E30" s="882"/>
      <c r="F30" s="882"/>
      <c r="G30" s="882"/>
      <c r="H30" s="882"/>
      <c r="I30" s="137"/>
    </row>
    <row r="31" spans="1:157" ht="11.25" customHeight="1" x14ac:dyDescent="0.3">
      <c r="A31" s="18" t="s">
        <v>500</v>
      </c>
      <c r="B31" s="882">
        <v>31325521.899999999</v>
      </c>
      <c r="C31" s="882"/>
      <c r="D31" s="882">
        <v>4822422.57</v>
      </c>
      <c r="E31" s="882"/>
      <c r="F31" s="882">
        <v>5343872.6500000004</v>
      </c>
      <c r="G31" s="882"/>
      <c r="H31" s="882"/>
      <c r="I31" s="137"/>
    </row>
    <row r="32" spans="1:157" ht="11.25" customHeight="1" x14ac:dyDescent="0.3">
      <c r="A32" s="18" t="s">
        <v>501</v>
      </c>
      <c r="B32" s="822">
        <f>SUM(B33:C34)</f>
        <v>9581.51</v>
      </c>
      <c r="C32" s="822">
        <f>SUM(C33:D34)</f>
        <v>0</v>
      </c>
      <c r="D32" s="883">
        <f>SUM(D33:E34)</f>
        <v>0</v>
      </c>
      <c r="E32" s="883">
        <f>SUM(E33:F34)</f>
        <v>0</v>
      </c>
      <c r="F32" s="883"/>
      <c r="G32" s="883">
        <f>SUM(G33:H34)</f>
        <v>0</v>
      </c>
      <c r="H32" s="883">
        <f>SUM(H33:I34)</f>
        <v>0</v>
      </c>
      <c r="I32" s="137"/>
    </row>
    <row r="33" spans="1:9" ht="11.25" customHeight="1" x14ac:dyDescent="0.3">
      <c r="A33" s="18" t="s">
        <v>502</v>
      </c>
      <c r="B33" s="882">
        <v>9581.51</v>
      </c>
      <c r="C33" s="882"/>
      <c r="D33" s="882"/>
      <c r="E33" s="882"/>
      <c r="F33" s="882"/>
      <c r="G33" s="882"/>
      <c r="H33" s="882"/>
      <c r="I33" s="137"/>
    </row>
    <row r="34" spans="1:9" ht="11.25" customHeight="1" x14ac:dyDescent="0.3">
      <c r="A34" s="18" t="s">
        <v>503</v>
      </c>
      <c r="B34" s="882"/>
      <c r="C34" s="882"/>
      <c r="D34" s="882"/>
      <c r="E34" s="882"/>
      <c r="F34" s="882"/>
      <c r="G34" s="882"/>
      <c r="H34" s="882"/>
      <c r="I34" s="137"/>
    </row>
    <row r="35" spans="1:9" ht="11.25" customHeight="1" x14ac:dyDescent="0.3">
      <c r="A35" s="18" t="s">
        <v>504</v>
      </c>
      <c r="B35" s="883">
        <f>SUM(B36:C39,B42)</f>
        <v>1870901.0699999998</v>
      </c>
      <c r="C35" s="883"/>
      <c r="D35" s="883">
        <f>SUM(D36:E39,D42)</f>
        <v>0</v>
      </c>
      <c r="E35" s="883"/>
      <c r="F35" s="883">
        <f>SUM(F36:G39,F42)</f>
        <v>0</v>
      </c>
      <c r="G35" s="883">
        <f>SUM(G36:H39,G42)</f>
        <v>0</v>
      </c>
      <c r="H35" s="883">
        <f>SUM(H36:I39,H42)</f>
        <v>0</v>
      </c>
      <c r="I35" s="137"/>
    </row>
    <row r="36" spans="1:9" ht="11.25" customHeight="1" x14ac:dyDescent="0.3">
      <c r="A36" s="18" t="s">
        <v>505</v>
      </c>
      <c r="B36" s="882"/>
      <c r="C36" s="882"/>
      <c r="D36" s="882"/>
      <c r="E36" s="882"/>
      <c r="F36" s="882"/>
      <c r="G36" s="882"/>
      <c r="H36" s="882"/>
      <c r="I36" s="137"/>
    </row>
    <row r="37" spans="1:9" ht="11.25" customHeight="1" x14ac:dyDescent="0.3">
      <c r="A37" s="18" t="s">
        <v>506</v>
      </c>
      <c r="B37" s="882"/>
      <c r="C37" s="882"/>
      <c r="D37" s="882"/>
      <c r="E37" s="882"/>
      <c r="F37" s="882"/>
      <c r="G37" s="882"/>
      <c r="H37" s="882"/>
      <c r="I37" s="137"/>
    </row>
    <row r="38" spans="1:9" s="269" customFormat="1" ht="11.25" customHeight="1" x14ac:dyDescent="0.3">
      <c r="A38" s="18" t="s">
        <v>507</v>
      </c>
      <c r="B38" s="882"/>
      <c r="C38" s="882"/>
      <c r="D38" s="882"/>
      <c r="E38" s="882"/>
      <c r="F38" s="882"/>
      <c r="G38" s="882"/>
      <c r="H38" s="882"/>
      <c r="I38" s="137"/>
    </row>
    <row r="39" spans="1:9" ht="11.25" customHeight="1" x14ac:dyDescent="0.3">
      <c r="A39" s="18" t="s">
        <v>508</v>
      </c>
      <c r="B39" s="822">
        <f>SUM(B40:C41)</f>
        <v>1870901.0699999998</v>
      </c>
      <c r="C39" s="822"/>
      <c r="D39" s="883">
        <f>SUM(D40:E41)</f>
        <v>0</v>
      </c>
      <c r="E39" s="883"/>
      <c r="F39" s="883">
        <f>SUM(F40:G41)</f>
        <v>0</v>
      </c>
      <c r="G39" s="883"/>
      <c r="H39" s="883"/>
      <c r="I39" s="137"/>
    </row>
    <row r="40" spans="1:9" ht="11.25" customHeight="1" x14ac:dyDescent="0.3">
      <c r="A40" s="18" t="s">
        <v>499</v>
      </c>
      <c r="B40" s="882">
        <v>1394867.2</v>
      </c>
      <c r="C40" s="882"/>
      <c r="D40" s="882"/>
      <c r="E40" s="882"/>
      <c r="F40" s="882"/>
      <c r="G40" s="882"/>
      <c r="H40" s="882"/>
      <c r="I40" s="137"/>
    </row>
    <row r="41" spans="1:9" ht="11.25" customHeight="1" x14ac:dyDescent="0.3">
      <c r="A41" s="18" t="s">
        <v>509</v>
      </c>
      <c r="B41" s="882">
        <v>476033.87</v>
      </c>
      <c r="C41" s="882"/>
      <c r="D41" s="882"/>
      <c r="E41" s="882"/>
      <c r="F41" s="882"/>
      <c r="G41" s="882"/>
      <c r="H41" s="882"/>
      <c r="I41" s="137"/>
    </row>
    <row r="42" spans="1:9" ht="11.25" customHeight="1" x14ac:dyDescent="0.3">
      <c r="A42" s="18" t="s">
        <v>443</v>
      </c>
      <c r="B42" s="882"/>
      <c r="C42" s="882"/>
      <c r="D42" s="882"/>
      <c r="E42" s="882"/>
      <c r="F42" s="882"/>
      <c r="G42" s="882"/>
      <c r="H42" s="882"/>
      <c r="I42" s="137"/>
    </row>
    <row r="43" spans="1:9" ht="11.25" customHeight="1" x14ac:dyDescent="0.3">
      <c r="A43" s="18" t="s">
        <v>510</v>
      </c>
      <c r="B43" s="881">
        <f>B35-B36-B37-B38</f>
        <v>1870901.0699999998</v>
      </c>
      <c r="C43" s="881"/>
      <c r="D43" s="881">
        <f>D35-D36-D37-D38</f>
        <v>0</v>
      </c>
      <c r="E43" s="881"/>
      <c r="F43" s="881">
        <f>F35-F36-F37-F38</f>
        <v>0</v>
      </c>
      <c r="G43" s="881"/>
      <c r="H43" s="881"/>
      <c r="I43" s="137"/>
    </row>
    <row r="44" spans="1:9" ht="11.25" customHeight="1" x14ac:dyDescent="0.3">
      <c r="A44" s="277" t="s">
        <v>511</v>
      </c>
      <c r="B44" s="853">
        <f>B13+B43</f>
        <v>43348733.089999996</v>
      </c>
      <c r="C44" s="853"/>
      <c r="D44" s="853">
        <f>D13+D43</f>
        <v>8844181.4700000007</v>
      </c>
      <c r="E44" s="853"/>
      <c r="F44" s="853">
        <f>F13+F43</f>
        <v>8952568.1900000013</v>
      </c>
      <c r="G44" s="853"/>
      <c r="H44" s="853"/>
      <c r="I44" s="163"/>
    </row>
    <row r="45" spans="1:9" ht="11.25" customHeight="1" x14ac:dyDescent="0.3">
      <c r="A45" s="93"/>
      <c r="B45" s="278"/>
      <c r="C45" s="252"/>
      <c r="D45" s="252"/>
    </row>
    <row r="46" spans="1:9" ht="41.25" customHeight="1" x14ac:dyDescent="0.25">
      <c r="A46" s="878" t="s">
        <v>512</v>
      </c>
      <c r="B46" s="777" t="s">
        <v>120</v>
      </c>
      <c r="C46" s="879" t="s">
        <v>121</v>
      </c>
      <c r="D46" s="879"/>
      <c r="E46" s="826" t="s">
        <v>122</v>
      </c>
      <c r="F46" s="826"/>
      <c r="G46" s="826" t="s">
        <v>163</v>
      </c>
      <c r="H46" s="826"/>
    </row>
    <row r="47" spans="1:9" ht="15" customHeight="1" x14ac:dyDescent="0.25">
      <c r="A47" s="878"/>
      <c r="B47" s="777"/>
      <c r="C47" s="183" t="s">
        <v>369</v>
      </c>
      <c r="D47" s="183" t="s">
        <v>369</v>
      </c>
      <c r="E47" s="183" t="s">
        <v>369</v>
      </c>
      <c r="F47" s="279" t="s">
        <v>369</v>
      </c>
      <c r="G47" s="184" t="s">
        <v>393</v>
      </c>
      <c r="H47" s="184" t="s">
        <v>393</v>
      </c>
    </row>
    <row r="48" spans="1:9" ht="12.75" customHeight="1" x14ac:dyDescent="0.25">
      <c r="A48" s="878"/>
      <c r="B48" s="777"/>
      <c r="C48" s="185" t="str">
        <f>+$D$12</f>
        <v>2017</v>
      </c>
      <c r="D48" s="226">
        <f>+$F$12</f>
        <v>2016</v>
      </c>
      <c r="E48" s="185" t="str">
        <f>+$D$12</f>
        <v>2017</v>
      </c>
      <c r="F48" s="226">
        <f>+$F$12</f>
        <v>2016</v>
      </c>
      <c r="G48" s="185" t="str">
        <f>+$D$12</f>
        <v>2017</v>
      </c>
      <c r="H48" s="227">
        <f>+$F$12</f>
        <v>2016</v>
      </c>
    </row>
    <row r="49" spans="1:8" ht="11.25" customHeight="1" x14ac:dyDescent="0.3">
      <c r="A49" s="18" t="s">
        <v>513</v>
      </c>
      <c r="B49" s="280">
        <f t="shared" ref="B49:H49" si="4">SUM(B50:B52)</f>
        <v>31707349.789999999</v>
      </c>
      <c r="C49" s="280">
        <f t="shared" si="4"/>
        <v>6714388.2699999996</v>
      </c>
      <c r="D49" s="280">
        <f t="shared" si="4"/>
        <v>6586219.1099999994</v>
      </c>
      <c r="E49" s="280">
        <f t="shared" si="4"/>
        <v>6714388.2699999996</v>
      </c>
      <c r="F49" s="280">
        <f t="shared" si="4"/>
        <v>6586219.1099999994</v>
      </c>
      <c r="G49" s="280">
        <f t="shared" si="4"/>
        <v>0</v>
      </c>
      <c r="H49" s="280">
        <f t="shared" si="4"/>
        <v>0</v>
      </c>
    </row>
    <row r="50" spans="1:8" ht="11.25" customHeight="1" x14ac:dyDescent="0.3">
      <c r="A50" s="18" t="s">
        <v>514</v>
      </c>
      <c r="B50" s="191">
        <v>17951383.66</v>
      </c>
      <c r="C50" s="191">
        <v>5467302.7599999998</v>
      </c>
      <c r="D50" s="191">
        <v>5065445.5199999996</v>
      </c>
      <c r="E50" s="191">
        <v>5467302.7599999998</v>
      </c>
      <c r="F50" s="191">
        <v>5065445.5199999996</v>
      </c>
      <c r="G50" s="191">
        <v>0</v>
      </c>
      <c r="H50" s="191">
        <v>0</v>
      </c>
    </row>
    <row r="51" spans="1:8" ht="11.25" customHeight="1" x14ac:dyDescent="0.3">
      <c r="A51" s="18" t="s">
        <v>515</v>
      </c>
      <c r="B51" s="281"/>
      <c r="C51" s="281"/>
      <c r="D51" s="281"/>
      <c r="E51" s="281"/>
      <c r="F51" s="281"/>
      <c r="G51" s="281"/>
      <c r="H51" s="281"/>
    </row>
    <row r="52" spans="1:8" ht="11.25" customHeight="1" x14ac:dyDescent="0.3">
      <c r="A52" s="18" t="s">
        <v>516</v>
      </c>
      <c r="B52" s="191">
        <v>13755966.130000001</v>
      </c>
      <c r="C52" s="191">
        <v>1247085.51</v>
      </c>
      <c r="D52" s="191">
        <v>1520773.59</v>
      </c>
      <c r="E52" s="191">
        <v>1247085.51</v>
      </c>
      <c r="F52" s="191">
        <v>1520773.59</v>
      </c>
      <c r="G52" s="191"/>
      <c r="H52" s="191"/>
    </row>
    <row r="53" spans="1:8" ht="11.25" customHeight="1" x14ac:dyDescent="0.3">
      <c r="A53" s="18" t="s">
        <v>517</v>
      </c>
      <c r="B53" s="280">
        <f t="shared" ref="B53:H53" si="5">B49-B51</f>
        <v>31707349.789999999</v>
      </c>
      <c r="C53" s="280">
        <f t="shared" si="5"/>
        <v>6714388.2699999996</v>
      </c>
      <c r="D53" s="280">
        <f t="shared" si="5"/>
        <v>6586219.1099999994</v>
      </c>
      <c r="E53" s="280">
        <f t="shared" si="5"/>
        <v>6714388.2699999996</v>
      </c>
      <c r="F53" s="280">
        <f t="shared" si="5"/>
        <v>6586219.1099999994</v>
      </c>
      <c r="G53" s="280">
        <f t="shared" si="5"/>
        <v>0</v>
      </c>
      <c r="H53" s="280">
        <f t="shared" si="5"/>
        <v>0</v>
      </c>
    </row>
    <row r="54" spans="1:8" ht="11.25" customHeight="1" x14ac:dyDescent="0.3">
      <c r="A54" s="16" t="s">
        <v>518</v>
      </c>
      <c r="B54" s="50">
        <f t="shared" ref="B54:H54" si="6">SUM(B55:B56,B60)</f>
        <v>6289855.8099999996</v>
      </c>
      <c r="C54" s="50">
        <f t="shared" si="6"/>
        <v>0</v>
      </c>
      <c r="D54" s="50">
        <f t="shared" si="6"/>
        <v>0</v>
      </c>
      <c r="E54" s="50">
        <f t="shared" si="6"/>
        <v>0</v>
      </c>
      <c r="F54" s="50">
        <f t="shared" si="6"/>
        <v>115591.84</v>
      </c>
      <c r="G54" s="50">
        <f t="shared" si="6"/>
        <v>0</v>
      </c>
      <c r="H54" s="50">
        <f t="shared" si="6"/>
        <v>0</v>
      </c>
    </row>
    <row r="55" spans="1:8" ht="11.25" customHeight="1" x14ac:dyDescent="0.3">
      <c r="A55" s="18" t="s">
        <v>519</v>
      </c>
      <c r="B55" s="281">
        <v>6251238.8099999996</v>
      </c>
      <c r="C55" s="281"/>
      <c r="D55" s="281"/>
      <c r="E55" s="281"/>
      <c r="F55" s="281">
        <v>115591.84</v>
      </c>
      <c r="G55" s="281"/>
      <c r="H55" s="281"/>
    </row>
    <row r="56" spans="1:8" ht="11.25" customHeight="1" x14ac:dyDescent="0.3">
      <c r="A56" s="18" t="s">
        <v>520</v>
      </c>
      <c r="B56" s="280">
        <f t="shared" ref="B56:H56" si="7">SUM(B57:B59)</f>
        <v>38617</v>
      </c>
      <c r="C56" s="280">
        <f t="shared" si="7"/>
        <v>0</v>
      </c>
      <c r="D56" s="280">
        <f t="shared" si="7"/>
        <v>0</v>
      </c>
      <c r="E56" s="280">
        <f t="shared" si="7"/>
        <v>0</v>
      </c>
      <c r="F56" s="280">
        <f t="shared" si="7"/>
        <v>0</v>
      </c>
      <c r="G56" s="280">
        <f t="shared" si="7"/>
        <v>0</v>
      </c>
      <c r="H56" s="280">
        <f t="shared" si="7"/>
        <v>0</v>
      </c>
    </row>
    <row r="57" spans="1:8" ht="11.25" customHeight="1" x14ac:dyDescent="0.3">
      <c r="A57" s="18" t="s">
        <v>521</v>
      </c>
      <c r="B57" s="281"/>
      <c r="C57" s="281"/>
      <c r="D57" s="281"/>
      <c r="E57" s="281"/>
      <c r="F57" s="281"/>
      <c r="G57" s="281"/>
      <c r="H57" s="281"/>
    </row>
    <row r="58" spans="1:8" ht="11.25" customHeight="1" x14ac:dyDescent="0.3">
      <c r="A58" s="18" t="s">
        <v>522</v>
      </c>
      <c r="B58" s="281"/>
      <c r="C58" s="281"/>
      <c r="D58" s="281"/>
      <c r="E58" s="281"/>
      <c r="F58" s="281"/>
      <c r="G58" s="281"/>
      <c r="H58" s="281"/>
    </row>
    <row r="59" spans="1:8" ht="11.25" customHeight="1" x14ac:dyDescent="0.3">
      <c r="A59" s="18" t="s">
        <v>523</v>
      </c>
      <c r="B59" s="281">
        <v>38617</v>
      </c>
      <c r="C59" s="281"/>
      <c r="D59" s="281"/>
      <c r="E59" s="281"/>
      <c r="F59" s="281"/>
      <c r="G59" s="281"/>
      <c r="H59" s="281"/>
    </row>
    <row r="60" spans="1:8" ht="11.25" customHeight="1" x14ac:dyDescent="0.3">
      <c r="A60" s="18" t="s">
        <v>524</v>
      </c>
      <c r="B60" s="281"/>
      <c r="C60" s="281"/>
      <c r="D60" s="281"/>
      <c r="E60" s="281"/>
      <c r="F60" s="281"/>
      <c r="G60" s="281"/>
      <c r="H60" s="281"/>
    </row>
    <row r="61" spans="1:8" ht="11.25" customHeight="1" x14ac:dyDescent="0.3">
      <c r="A61" s="16" t="s">
        <v>525</v>
      </c>
      <c r="B61" s="50">
        <f t="shared" ref="B61:H61" si="8">B54-B57-B58-B60</f>
        <v>6289855.8099999996</v>
      </c>
      <c r="C61" s="50">
        <f t="shared" si="8"/>
        <v>0</v>
      </c>
      <c r="D61" s="50">
        <f t="shared" si="8"/>
        <v>0</v>
      </c>
      <c r="E61" s="50">
        <f t="shared" si="8"/>
        <v>0</v>
      </c>
      <c r="F61" s="50">
        <f t="shared" si="8"/>
        <v>115591.84</v>
      </c>
      <c r="G61" s="50">
        <f t="shared" si="8"/>
        <v>0</v>
      </c>
      <c r="H61" s="50">
        <f t="shared" si="8"/>
        <v>0</v>
      </c>
    </row>
    <row r="62" spans="1:8" ht="11.25" customHeight="1" x14ac:dyDescent="0.3">
      <c r="A62" s="16" t="s">
        <v>526</v>
      </c>
      <c r="B62" s="281">
        <v>375061</v>
      </c>
      <c r="C62" s="282"/>
      <c r="D62" s="282"/>
      <c r="E62" s="282"/>
      <c r="F62" s="282"/>
      <c r="G62" s="282"/>
      <c r="H62" s="282"/>
    </row>
    <row r="63" spans="1:8" ht="11.25" customHeight="1" x14ac:dyDescent="0.3">
      <c r="A63" s="16" t="s">
        <v>527</v>
      </c>
      <c r="B63" s="281"/>
      <c r="C63" s="282"/>
      <c r="D63" s="282"/>
      <c r="E63" s="282"/>
      <c r="F63" s="282"/>
      <c r="G63" s="282"/>
      <c r="H63" s="282"/>
    </row>
    <row r="64" spans="1:8" ht="11.25" customHeight="1" x14ac:dyDescent="0.3">
      <c r="A64" s="283" t="s">
        <v>528</v>
      </c>
      <c r="B64" s="284">
        <f t="shared" ref="B64:H64" si="9">B53+B61+B62+B63</f>
        <v>38372266.600000001</v>
      </c>
      <c r="C64" s="284">
        <f t="shared" si="9"/>
        <v>6714388.2699999996</v>
      </c>
      <c r="D64" s="284">
        <f t="shared" si="9"/>
        <v>6586219.1099999994</v>
      </c>
      <c r="E64" s="284">
        <f t="shared" si="9"/>
        <v>6714388.2699999996</v>
      </c>
      <c r="F64" s="284">
        <f t="shared" si="9"/>
        <v>6701810.9499999993</v>
      </c>
      <c r="G64" s="284">
        <f t="shared" si="9"/>
        <v>0</v>
      </c>
      <c r="H64" s="284">
        <f t="shared" si="9"/>
        <v>0</v>
      </c>
    </row>
    <row r="65" spans="1:8" ht="11.25" customHeight="1" x14ac:dyDescent="0.3">
      <c r="A65" s="285"/>
      <c r="B65" s="278"/>
      <c r="C65" s="286"/>
      <c r="D65" s="263"/>
      <c r="F65" s="267"/>
      <c r="H65" s="267"/>
    </row>
    <row r="66" spans="1:8" ht="11.25" customHeight="1" x14ac:dyDescent="0.3">
      <c r="A66" s="283" t="s">
        <v>529</v>
      </c>
      <c r="B66" s="287">
        <f>B44-B64</f>
        <v>4976466.4899999946</v>
      </c>
      <c r="C66" s="288">
        <f>D44-C64</f>
        <v>2129793.2000000011</v>
      </c>
      <c r="D66" s="289">
        <f>F44-D64</f>
        <v>2366349.0800000019</v>
      </c>
      <c r="E66" s="288">
        <f>D44-E64</f>
        <v>2129793.2000000011</v>
      </c>
      <c r="F66" s="289">
        <f>$F44-F64</f>
        <v>2250757.2400000021</v>
      </c>
      <c r="G66" s="290"/>
      <c r="H66" s="291"/>
    </row>
    <row r="67" spans="1:8" ht="11.25" customHeight="1" x14ac:dyDescent="0.3">
      <c r="A67" s="285"/>
      <c r="B67" s="278"/>
      <c r="C67" s="286"/>
      <c r="D67" s="263"/>
      <c r="F67" s="267"/>
      <c r="H67" s="267"/>
    </row>
    <row r="68" spans="1:8" ht="11.25" customHeight="1" x14ac:dyDescent="0.3">
      <c r="A68" s="283" t="s">
        <v>530</v>
      </c>
      <c r="B68" s="282"/>
      <c r="C68" s="292"/>
      <c r="D68" s="293"/>
      <c r="E68" s="294"/>
      <c r="F68" s="295"/>
      <c r="G68" s="295"/>
      <c r="H68" s="296"/>
    </row>
    <row r="69" spans="1:8" ht="11.25" customHeight="1" x14ac:dyDescent="0.3">
      <c r="A69" s="18"/>
      <c r="B69" s="252"/>
      <c r="C69" s="252"/>
      <c r="D69" s="297"/>
    </row>
    <row r="70" spans="1:8" ht="11.25" customHeight="1" x14ac:dyDescent="0.25">
      <c r="A70" s="880" t="s">
        <v>481</v>
      </c>
      <c r="B70" s="880"/>
      <c r="C70" s="880"/>
      <c r="D70" s="880"/>
      <c r="E70" s="811" t="s">
        <v>482</v>
      </c>
      <c r="F70" s="811"/>
      <c r="G70" s="811"/>
      <c r="H70" s="811"/>
    </row>
    <row r="71" spans="1:8" ht="11.25" customHeight="1" x14ac:dyDescent="0.25">
      <c r="A71" s="880"/>
      <c r="B71" s="880"/>
      <c r="C71" s="880"/>
      <c r="D71" s="880"/>
      <c r="E71" s="811"/>
      <c r="F71" s="811"/>
      <c r="G71" s="811"/>
      <c r="H71" s="811"/>
    </row>
    <row r="72" spans="1:8" ht="11.25" customHeight="1" x14ac:dyDescent="0.25">
      <c r="A72" s="875" t="s">
        <v>531</v>
      </c>
      <c r="B72" s="875"/>
      <c r="C72" s="875"/>
      <c r="D72" s="875"/>
      <c r="E72" s="876"/>
      <c r="F72" s="876"/>
      <c r="G72" s="876"/>
      <c r="H72" s="876"/>
    </row>
    <row r="73" spans="1:8" ht="13.5" customHeight="1" x14ac:dyDescent="0.25">
      <c r="A73" s="877" t="s">
        <v>155</v>
      </c>
      <c r="B73" s="877"/>
      <c r="C73" s="877"/>
      <c r="D73" s="877"/>
      <c r="E73" s="877"/>
      <c r="F73" s="877"/>
      <c r="G73" s="877"/>
      <c r="H73" s="877"/>
    </row>
  </sheetData>
  <sheetProtection password="F3F6" sheet="1"/>
  <mergeCells count="117">
    <mergeCell ref="A3:D3"/>
    <mergeCell ref="A4:D4"/>
    <mergeCell ref="A5:D5"/>
    <mergeCell ref="A6:D6"/>
    <mergeCell ref="A7:D7"/>
    <mergeCell ref="B10:C12"/>
    <mergeCell ref="D10:H10"/>
    <mergeCell ref="D11:E11"/>
    <mergeCell ref="F11:H11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B29:C29"/>
    <mergeCell ref="D29:E29"/>
    <mergeCell ref="F29:H29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B37:C37"/>
    <mergeCell ref="D37:E37"/>
    <mergeCell ref="F37:H37"/>
    <mergeCell ref="B38:C38"/>
    <mergeCell ref="D38:E38"/>
    <mergeCell ref="F38:H38"/>
    <mergeCell ref="B39:C39"/>
    <mergeCell ref="D39:E39"/>
    <mergeCell ref="F39:H39"/>
    <mergeCell ref="B40:C40"/>
    <mergeCell ref="D40:E40"/>
    <mergeCell ref="F40:H40"/>
    <mergeCell ref="B41:C41"/>
    <mergeCell ref="D41:E41"/>
    <mergeCell ref="F41:H41"/>
    <mergeCell ref="B42:C42"/>
    <mergeCell ref="D42:E42"/>
    <mergeCell ref="F42:H42"/>
    <mergeCell ref="B43:C43"/>
    <mergeCell ref="D43:E43"/>
    <mergeCell ref="F43:H43"/>
    <mergeCell ref="B44:C44"/>
    <mergeCell ref="D44:E44"/>
    <mergeCell ref="F44:H44"/>
    <mergeCell ref="A72:D72"/>
    <mergeCell ref="E72:H72"/>
    <mergeCell ref="A73:H73"/>
    <mergeCell ref="A46:A48"/>
    <mergeCell ref="B46:B48"/>
    <mergeCell ref="C46:D46"/>
    <mergeCell ref="E46:F46"/>
    <mergeCell ref="G46:H46"/>
    <mergeCell ref="A70:D71"/>
    <mergeCell ref="E70:H71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topLeftCell="A4" zoomScale="80" zoomScaleNormal="80" workbookViewId="0">
      <selection activeCell="F18" sqref="F18"/>
    </sheetView>
  </sheetViews>
  <sheetFormatPr defaultColWidth="3.26953125" defaultRowHeight="11.25" customHeight="1" x14ac:dyDescent="0.3"/>
  <cols>
    <col min="1" max="1" width="51" style="16" customWidth="1"/>
    <col min="2" max="12" width="17.81640625" style="16" customWidth="1"/>
    <col min="13" max="13" width="17.81640625" style="136" customWidth="1"/>
    <col min="14" max="16384" width="3.26953125" style="136"/>
  </cols>
  <sheetData>
    <row r="1" spans="1:13" s="299" customFormat="1" ht="15.75" customHeight="1" x14ac:dyDescent="0.35">
      <c r="A1" s="133" t="s">
        <v>532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3" spans="1:13" ht="12.75" customHeight="1" x14ac:dyDescent="0.3">
      <c r="A3" s="804" t="str">
        <f>+'Informações Iniciais'!A1:B1</f>
        <v>ESTADO DO MARANHÃO - PREFEITURA MUNICIPAL DE DAVINOPOLIS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1:13" ht="12.75" customHeight="1" x14ac:dyDescent="0.3">
      <c r="A4" s="804" t="s">
        <v>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</row>
    <row r="5" spans="1:13" ht="12.75" customHeight="1" x14ac:dyDescent="0.3">
      <c r="A5" s="803" t="s">
        <v>533</v>
      </c>
      <c r="B5" s="803"/>
      <c r="C5" s="803"/>
      <c r="D5" s="803"/>
      <c r="E5" s="803"/>
      <c r="F5" s="803"/>
      <c r="G5" s="803"/>
      <c r="H5" s="803"/>
      <c r="I5" s="803"/>
      <c r="J5" s="803"/>
      <c r="K5" s="803"/>
      <c r="L5" s="803"/>
    </row>
    <row r="6" spans="1:13" ht="12.75" customHeight="1" x14ac:dyDescent="0.3">
      <c r="A6" s="804" t="s">
        <v>30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</row>
    <row r="7" spans="1:13" ht="12.75" customHeight="1" x14ac:dyDescent="0.3">
      <c r="A7" s="804" t="str">
        <f>+'Informações Iniciais'!A5:B5</f>
        <v>2º Bimestre de 2017</v>
      </c>
      <c r="B7" s="804"/>
      <c r="C7" s="804"/>
      <c r="D7" s="804"/>
      <c r="E7" s="804"/>
      <c r="F7" s="804"/>
      <c r="G7" s="804"/>
      <c r="H7" s="804"/>
      <c r="I7" s="804"/>
      <c r="J7" s="804"/>
      <c r="K7" s="804"/>
      <c r="L7" s="804"/>
    </row>
    <row r="8" spans="1:13" ht="12.75" customHeight="1" x14ac:dyDescent="0.3">
      <c r="A8" s="134"/>
      <c r="B8" s="134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3" ht="12.75" customHeight="1" x14ac:dyDescent="0.3">
      <c r="A9" s="300" t="s">
        <v>534</v>
      </c>
      <c r="B9" s="24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>
        <v>1</v>
      </c>
    </row>
    <row r="10" spans="1:13" ht="43" customHeight="1" x14ac:dyDescent="0.3">
      <c r="A10" s="815" t="s">
        <v>535</v>
      </c>
      <c r="B10" s="826" t="s">
        <v>536</v>
      </c>
      <c r="C10" s="826"/>
      <c r="D10" s="826"/>
      <c r="E10" s="826"/>
      <c r="F10" s="826"/>
      <c r="G10" s="811" t="s">
        <v>537</v>
      </c>
      <c r="H10" s="811"/>
      <c r="I10" s="811"/>
      <c r="J10" s="811"/>
      <c r="K10" s="811"/>
      <c r="L10" s="811"/>
      <c r="M10" s="826" t="s">
        <v>538</v>
      </c>
    </row>
    <row r="11" spans="1:13" ht="12.75" customHeight="1" x14ac:dyDescent="0.3">
      <c r="A11" s="815"/>
      <c r="B11" s="807" t="s">
        <v>539</v>
      </c>
      <c r="C11" s="807"/>
      <c r="D11" s="811" t="s">
        <v>540</v>
      </c>
      <c r="E11" s="811" t="s">
        <v>541</v>
      </c>
      <c r="F11" s="888" t="s">
        <v>542</v>
      </c>
      <c r="G11" s="807" t="s">
        <v>539</v>
      </c>
      <c r="H11" s="807"/>
      <c r="I11" s="811" t="s">
        <v>543</v>
      </c>
      <c r="J11" s="811" t="s">
        <v>540</v>
      </c>
      <c r="K11" s="811" t="s">
        <v>541</v>
      </c>
      <c r="L11" s="888" t="s">
        <v>542</v>
      </c>
      <c r="M11" s="826"/>
    </row>
    <row r="12" spans="1:13" ht="13" customHeight="1" x14ac:dyDescent="0.3">
      <c r="A12" s="815"/>
      <c r="B12" s="826" t="s">
        <v>544</v>
      </c>
      <c r="C12" s="826" t="s">
        <v>545</v>
      </c>
      <c r="D12" s="811"/>
      <c r="E12" s="811"/>
      <c r="F12" s="888"/>
      <c r="G12" s="826" t="s">
        <v>544</v>
      </c>
      <c r="H12" s="826" t="s">
        <v>545</v>
      </c>
      <c r="I12" s="811"/>
      <c r="J12" s="811"/>
      <c r="K12" s="811"/>
      <c r="L12" s="888"/>
      <c r="M12" s="826"/>
    </row>
    <row r="13" spans="1:13" ht="13" customHeight="1" x14ac:dyDescent="0.3">
      <c r="A13" s="815"/>
      <c r="B13" s="826"/>
      <c r="C13" s="826"/>
      <c r="D13" s="811"/>
      <c r="E13" s="811"/>
      <c r="F13" s="888"/>
      <c r="G13" s="826"/>
      <c r="H13" s="826"/>
      <c r="I13" s="811"/>
      <c r="J13" s="811"/>
      <c r="K13" s="811"/>
      <c r="L13" s="888"/>
      <c r="M13" s="826"/>
    </row>
    <row r="14" spans="1:13" ht="13" customHeight="1" x14ac:dyDescent="0.3">
      <c r="A14" s="815"/>
      <c r="B14" s="826"/>
      <c r="C14" s="836">
        <f>IF(A7="&lt;SELECIONE O PERÍODO CLICANDO NA SETA AO LADO&gt;","&lt;Exercício Anterior&gt;",(RIGHT(A7,4)-1))</f>
        <v>2016</v>
      </c>
      <c r="D14" s="811"/>
      <c r="E14" s="811"/>
      <c r="F14" s="888"/>
      <c r="G14" s="826"/>
      <c r="H14" s="836">
        <f>+C14</f>
        <v>2016</v>
      </c>
      <c r="I14" s="811"/>
      <c r="J14" s="811"/>
      <c r="K14" s="811"/>
      <c r="L14" s="888"/>
      <c r="M14" s="826"/>
    </row>
    <row r="15" spans="1:13" s="302" customFormat="1" ht="13" customHeight="1" x14ac:dyDescent="0.3">
      <c r="A15" s="815"/>
      <c r="B15" s="826"/>
      <c r="C15" s="826"/>
      <c r="D15" s="811"/>
      <c r="E15" s="811"/>
      <c r="F15" s="301" t="s">
        <v>41</v>
      </c>
      <c r="G15" s="826"/>
      <c r="H15" s="826"/>
      <c r="I15" s="811"/>
      <c r="J15" s="811"/>
      <c r="K15" s="811"/>
      <c r="L15" s="301" t="s">
        <v>42</v>
      </c>
      <c r="M15" s="826"/>
    </row>
    <row r="16" spans="1:13" ht="12.75" customHeight="1" x14ac:dyDescent="0.3">
      <c r="A16" s="134" t="s">
        <v>546</v>
      </c>
      <c r="B16" s="46">
        <f t="shared" ref="B16:M16" si="0">B17+B18</f>
        <v>0</v>
      </c>
      <c r="C16" s="46">
        <f t="shared" si="0"/>
        <v>543156.38</v>
      </c>
      <c r="D16" s="46">
        <f t="shared" si="0"/>
        <v>425131.96</v>
      </c>
      <c r="E16" s="46">
        <f t="shared" si="0"/>
        <v>0</v>
      </c>
      <c r="F16" s="46">
        <f t="shared" si="0"/>
        <v>118024.42</v>
      </c>
      <c r="G16" s="46">
        <f t="shared" si="0"/>
        <v>0</v>
      </c>
      <c r="H16" s="46">
        <f t="shared" si="0"/>
        <v>0</v>
      </c>
      <c r="I16" s="46">
        <f t="shared" si="0"/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118024.42</v>
      </c>
    </row>
    <row r="17" spans="1:13" ht="12.75" customHeight="1" x14ac:dyDescent="0.3">
      <c r="A17" s="134" t="s">
        <v>547</v>
      </c>
      <c r="B17" s="85">
        <v>0</v>
      </c>
      <c r="C17" s="85">
        <v>543156.38</v>
      </c>
      <c r="D17" s="85">
        <v>425131.96</v>
      </c>
      <c r="E17" s="85">
        <v>0</v>
      </c>
      <c r="F17" s="85">
        <v>118024.42</v>
      </c>
      <c r="G17" s="85">
        <v>0</v>
      </c>
      <c r="H17" s="85">
        <v>0</v>
      </c>
      <c r="I17" s="85">
        <v>0</v>
      </c>
      <c r="J17" s="85">
        <v>0</v>
      </c>
      <c r="K17" s="86">
        <v>0</v>
      </c>
      <c r="L17" s="86">
        <v>0</v>
      </c>
      <c r="M17" s="46">
        <f>F17+L17</f>
        <v>118024.42</v>
      </c>
    </row>
    <row r="18" spans="1:13" ht="12.75" customHeight="1" x14ac:dyDescent="0.3">
      <c r="A18" s="134" t="s">
        <v>548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  <c r="L18" s="86"/>
      <c r="M18" s="46">
        <f>F18+L18</f>
        <v>0</v>
      </c>
    </row>
    <row r="19" spans="1:13" ht="12.75" customHeight="1" x14ac:dyDescent="0.3">
      <c r="A19" s="134" t="s">
        <v>549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86"/>
      <c r="M19" s="46">
        <f>F19+L19</f>
        <v>0</v>
      </c>
    </row>
    <row r="20" spans="1:13" ht="12.75" customHeight="1" x14ac:dyDescent="0.3">
      <c r="A20" s="173" t="s">
        <v>317</v>
      </c>
      <c r="B20" s="303">
        <f t="shared" ref="B20:M20" si="1">B16+B19</f>
        <v>0</v>
      </c>
      <c r="C20" s="303">
        <f t="shared" si="1"/>
        <v>543156.38</v>
      </c>
      <c r="D20" s="303">
        <f t="shared" si="1"/>
        <v>425131.96</v>
      </c>
      <c r="E20" s="303">
        <f t="shared" si="1"/>
        <v>0</v>
      </c>
      <c r="F20" s="303">
        <f t="shared" si="1"/>
        <v>118024.42</v>
      </c>
      <c r="G20" s="303">
        <f t="shared" si="1"/>
        <v>0</v>
      </c>
      <c r="H20" s="303">
        <f t="shared" si="1"/>
        <v>0</v>
      </c>
      <c r="I20" s="303">
        <f t="shared" si="1"/>
        <v>0</v>
      </c>
      <c r="J20" s="303">
        <f t="shared" si="1"/>
        <v>0</v>
      </c>
      <c r="K20" s="303">
        <f t="shared" si="1"/>
        <v>0</v>
      </c>
      <c r="L20" s="303">
        <f t="shared" si="1"/>
        <v>0</v>
      </c>
      <c r="M20" s="71">
        <f t="shared" si="1"/>
        <v>118024.42</v>
      </c>
    </row>
    <row r="21" spans="1:13" ht="12.75" customHeight="1" x14ac:dyDescent="0.3">
      <c r="A21" s="889" t="s">
        <v>550</v>
      </c>
      <c r="B21" s="889"/>
      <c r="C21" s="889"/>
      <c r="D21" s="889"/>
      <c r="E21" s="889"/>
      <c r="F21" s="889"/>
      <c r="G21" s="889"/>
      <c r="H21" s="889"/>
      <c r="I21" s="889"/>
      <c r="J21" s="889"/>
      <c r="K21" s="889"/>
      <c r="L21" s="889"/>
      <c r="M21" s="889"/>
    </row>
  </sheetData>
  <sheetProtection selectLockedCells="1" selectUnlockedCells="1"/>
  <mergeCells count="25">
    <mergeCell ref="A3:L3"/>
    <mergeCell ref="A4:L4"/>
    <mergeCell ref="A5:L5"/>
    <mergeCell ref="A6:L6"/>
    <mergeCell ref="A7:L7"/>
    <mergeCell ref="A10:A15"/>
    <mergeCell ref="A21:M21"/>
    <mergeCell ref="M10:M15"/>
    <mergeCell ref="B11:C11"/>
    <mergeCell ref="D11:D15"/>
    <mergeCell ref="E11:E15"/>
    <mergeCell ref="G11:H11"/>
    <mergeCell ref="I11:I15"/>
    <mergeCell ref="J11:J15"/>
    <mergeCell ref="K11:K15"/>
    <mergeCell ref="F11:F14"/>
    <mergeCell ref="B10:F10"/>
    <mergeCell ref="G10:L10"/>
    <mergeCell ref="B12:B15"/>
    <mergeCell ref="C12:C13"/>
    <mergeCell ref="G12:G15"/>
    <mergeCell ref="H12:H13"/>
    <mergeCell ref="C14:C15"/>
    <mergeCell ref="H14:H15"/>
    <mergeCell ref="L11:L14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showGridLines="0" topLeftCell="A79" zoomScale="80" zoomScaleNormal="80" workbookViewId="0">
      <selection activeCell="F114" sqref="F114"/>
    </sheetView>
  </sheetViews>
  <sheetFormatPr defaultColWidth="9.1796875" defaultRowHeight="11.25" customHeight="1" x14ac:dyDescent="0.25"/>
  <cols>
    <col min="1" max="1" width="78.453125" style="304" customWidth="1"/>
    <col min="2" max="6" width="13.7265625" style="304" customWidth="1"/>
    <col min="7" max="7" width="14.54296875" style="304" customWidth="1"/>
    <col min="8" max="8" width="20.1796875" style="304" customWidth="1"/>
    <col min="9" max="9" width="21.1796875" style="305" customWidth="1"/>
    <col min="10" max="10" width="14" style="305" customWidth="1"/>
    <col min="11" max="11" width="14.1796875" style="305" customWidth="1"/>
    <col min="12" max="16384" width="9.1796875" style="305"/>
  </cols>
  <sheetData>
    <row r="1" spans="1:256" s="307" customFormat="1" ht="15.75" customHeight="1" x14ac:dyDescent="0.35">
      <c r="A1" s="964" t="s">
        <v>551</v>
      </c>
      <c r="B1" s="964"/>
      <c r="C1" s="964"/>
      <c r="D1" s="964"/>
      <c r="E1" s="964"/>
      <c r="F1" s="964"/>
      <c r="G1" s="306"/>
      <c r="H1" s="306"/>
    </row>
    <row r="2" spans="1:256" s="310" customFormat="1" ht="12.75" customHeight="1" x14ac:dyDescent="0.3">
      <c r="A2" s="308"/>
      <c r="B2" s="308"/>
      <c r="C2" s="308"/>
      <c r="D2" s="308"/>
      <c r="E2" s="308"/>
      <c r="F2" s="308"/>
      <c r="G2" s="309"/>
      <c r="H2" s="309"/>
    </row>
    <row r="3" spans="1:256" s="310" customFormat="1" ht="12.75" customHeight="1" x14ac:dyDescent="0.3">
      <c r="A3" s="965" t="str">
        <f>+'Informações Iniciais'!A1:B1</f>
        <v>ESTADO DO MARANHÃO - PREFEITURA MUNICIPAL DE DAVINOPOLIS</v>
      </c>
      <c r="B3" s="965"/>
      <c r="C3" s="965"/>
      <c r="D3" s="965"/>
      <c r="E3" s="965"/>
      <c r="F3" s="965"/>
      <c r="G3" s="309"/>
      <c r="H3" s="309"/>
    </row>
    <row r="4" spans="1:256" s="310" customFormat="1" ht="12.75" customHeight="1" x14ac:dyDescent="0.3">
      <c r="A4" s="966" t="s">
        <v>1</v>
      </c>
      <c r="B4" s="966"/>
      <c r="C4" s="966"/>
      <c r="D4" s="966"/>
      <c r="E4" s="966"/>
      <c r="F4" s="966"/>
      <c r="G4" s="309"/>
      <c r="H4" s="309"/>
    </row>
    <row r="5" spans="1:256" s="310" customFormat="1" ht="12.75" customHeight="1" x14ac:dyDescent="0.3">
      <c r="A5" s="962" t="s">
        <v>552</v>
      </c>
      <c r="B5" s="962"/>
      <c r="C5" s="962"/>
      <c r="D5" s="962"/>
      <c r="E5" s="962"/>
      <c r="F5" s="962"/>
      <c r="G5" s="309"/>
      <c r="H5" s="309"/>
    </row>
    <row r="6" spans="1:256" s="310" customFormat="1" ht="12.75" customHeight="1" x14ac:dyDescent="0.3">
      <c r="A6" s="966" t="s">
        <v>30</v>
      </c>
      <c r="B6" s="966"/>
      <c r="C6" s="966"/>
      <c r="D6" s="966"/>
      <c r="E6" s="966"/>
      <c r="F6" s="966"/>
      <c r="G6" s="309"/>
      <c r="H6" s="309"/>
      <c r="II6" s="967" t="s">
        <v>2</v>
      </c>
      <c r="IJ6" s="967"/>
      <c r="IK6" s="967"/>
      <c r="IL6" s="967"/>
      <c r="IM6" s="967"/>
      <c r="IN6" s="967"/>
      <c r="IO6" s="311">
        <f>IF($A$7=IP6,1,0)</f>
        <v>0</v>
      </c>
      <c r="IP6" s="961" t="s">
        <v>553</v>
      </c>
      <c r="IQ6" s="961"/>
      <c r="IR6" s="961"/>
      <c r="IS6" s="961"/>
      <c r="IT6" s="961"/>
      <c r="IU6" s="961"/>
      <c r="IV6" s="961"/>
    </row>
    <row r="7" spans="1:256" s="310" customFormat="1" ht="12.75" customHeight="1" x14ac:dyDescent="0.3">
      <c r="A7" s="962" t="str">
        <f>+'Informações Iniciais'!A5:B5</f>
        <v>2º Bimestre de 2017</v>
      </c>
      <c r="B7" s="962"/>
      <c r="C7" s="962"/>
      <c r="D7" s="962"/>
      <c r="E7" s="962"/>
      <c r="F7" s="962"/>
      <c r="G7" s="962"/>
      <c r="H7" s="962"/>
      <c r="II7" s="967"/>
      <c r="IJ7" s="967"/>
      <c r="IK7" s="967"/>
      <c r="IL7" s="967"/>
      <c r="IM7" s="967"/>
      <c r="IN7" s="967"/>
      <c r="IO7" s="311"/>
      <c r="IP7" s="311"/>
      <c r="IQ7" s="311"/>
      <c r="IR7" s="311"/>
      <c r="IS7" s="311"/>
      <c r="IT7" s="311">
        <f t="shared" ref="IT7:IT12" si="0">IF($A$7=IV7,1,0)</f>
        <v>0</v>
      </c>
      <c r="IU7" s="311"/>
      <c r="IV7" s="312" t="s">
        <v>5</v>
      </c>
    </row>
    <row r="8" spans="1:256" s="310" customFormat="1" ht="21.75" customHeight="1" x14ac:dyDescent="0.3">
      <c r="A8" s="963" t="str">
        <f>IF($D$118&lt;&gt;($F$118+$H$118),"HÁ ERRO NO QUADRO DESPESAS COM MDE - VERIFIQUE!!!","")</f>
        <v/>
      </c>
      <c r="B8" s="963"/>
      <c r="C8" s="963"/>
      <c r="D8" s="963"/>
      <c r="E8" s="963"/>
      <c r="F8" s="963"/>
      <c r="G8" s="963"/>
      <c r="H8" s="963"/>
      <c r="II8" s="967"/>
      <c r="IJ8" s="967"/>
      <c r="IK8" s="967"/>
      <c r="IL8" s="967"/>
      <c r="IM8" s="967"/>
      <c r="IN8" s="967"/>
      <c r="IO8" s="311"/>
      <c r="IP8" s="311"/>
      <c r="IQ8" s="311"/>
      <c r="IR8" s="311"/>
      <c r="IS8" s="311"/>
      <c r="IT8" s="311">
        <f t="shared" si="0"/>
        <v>1</v>
      </c>
      <c r="IU8" s="311"/>
      <c r="IV8" s="312" t="s">
        <v>4</v>
      </c>
    </row>
    <row r="9" spans="1:256" s="310" customFormat="1" ht="12.75" customHeight="1" x14ac:dyDescent="0.3">
      <c r="A9" s="309" t="s">
        <v>554</v>
      </c>
      <c r="B9" s="313"/>
      <c r="C9" s="313"/>
      <c r="D9" s="313"/>
      <c r="E9" s="313"/>
      <c r="F9" s="314"/>
      <c r="G9" s="309"/>
      <c r="H9" s="314">
        <v>1</v>
      </c>
      <c r="II9" s="967"/>
      <c r="IJ9" s="967"/>
      <c r="IK9" s="967"/>
      <c r="IL9" s="967"/>
      <c r="IM9" s="967"/>
      <c r="IN9" s="967"/>
      <c r="IO9" s="311"/>
      <c r="IP9" s="311"/>
      <c r="IQ9" s="311"/>
      <c r="IR9" s="311"/>
      <c r="IS9" s="311"/>
      <c r="IT9" s="311">
        <f t="shared" si="0"/>
        <v>0</v>
      </c>
      <c r="IU9" s="311"/>
      <c r="IV9" s="312" t="s">
        <v>7</v>
      </c>
    </row>
    <row r="10" spans="1:256" s="310" customFormat="1" ht="12.75" customHeight="1" x14ac:dyDescent="0.3">
      <c r="A10" s="954" t="s">
        <v>555</v>
      </c>
      <c r="B10" s="954"/>
      <c r="C10" s="954"/>
      <c r="D10" s="954"/>
      <c r="E10" s="954"/>
      <c r="F10" s="954"/>
      <c r="G10" s="954"/>
      <c r="H10" s="954"/>
      <c r="II10" s="967"/>
      <c r="IJ10" s="967"/>
      <c r="IK10" s="967"/>
      <c r="IL10" s="967"/>
      <c r="IM10" s="967"/>
      <c r="IN10" s="967"/>
      <c r="IO10" s="311"/>
      <c r="IP10" s="311"/>
      <c r="IQ10" s="311"/>
      <c r="IR10" s="311"/>
      <c r="IS10" s="311"/>
      <c r="IT10" s="311">
        <f t="shared" si="0"/>
        <v>0</v>
      </c>
      <c r="IU10" s="311"/>
      <c r="IV10" s="312" t="s">
        <v>9</v>
      </c>
    </row>
    <row r="11" spans="1:256" s="310" customFormat="1" ht="12.75" customHeight="1" x14ac:dyDescent="0.3">
      <c r="A11" s="315"/>
      <c r="B11" s="907" t="s">
        <v>34</v>
      </c>
      <c r="C11" s="907"/>
      <c r="D11" s="959" t="s">
        <v>35</v>
      </c>
      <c r="E11" s="959"/>
      <c r="F11" s="956" t="s">
        <v>36</v>
      </c>
      <c r="G11" s="956"/>
      <c r="H11" s="956"/>
      <c r="II11" s="967"/>
      <c r="IJ11" s="967"/>
      <c r="IK11" s="967"/>
      <c r="IL11" s="967"/>
      <c r="IM11" s="967"/>
      <c r="IN11" s="967"/>
      <c r="IO11" s="311"/>
      <c r="IP11" s="311"/>
      <c r="IQ11" s="311"/>
      <c r="IR11" s="311"/>
      <c r="IS11" s="311"/>
      <c r="IT11" s="311">
        <f t="shared" si="0"/>
        <v>0</v>
      </c>
      <c r="IU11" s="311"/>
      <c r="IV11" s="312" t="s">
        <v>11</v>
      </c>
    </row>
    <row r="12" spans="1:256" s="310" customFormat="1" ht="12.75" customHeight="1" x14ac:dyDescent="0.3">
      <c r="A12" s="316" t="s">
        <v>556</v>
      </c>
      <c r="B12" s="907"/>
      <c r="C12" s="907"/>
      <c r="D12" s="959"/>
      <c r="E12" s="959"/>
      <c r="F12" s="955" t="s">
        <v>40</v>
      </c>
      <c r="G12" s="955"/>
      <c r="H12" s="318" t="s">
        <v>39</v>
      </c>
      <c r="II12" s="967"/>
      <c r="IJ12" s="967"/>
      <c r="IK12" s="967"/>
      <c r="IL12" s="967"/>
      <c r="IM12" s="967"/>
      <c r="IN12" s="967"/>
      <c r="IO12" s="311"/>
      <c r="IP12" s="311"/>
      <c r="IQ12" s="311"/>
      <c r="IR12" s="311"/>
      <c r="IS12" s="311"/>
      <c r="IT12" s="311">
        <f t="shared" si="0"/>
        <v>0</v>
      </c>
      <c r="IU12" s="311"/>
      <c r="IV12" s="312" t="s">
        <v>13</v>
      </c>
    </row>
    <row r="13" spans="1:256" s="310" customFormat="1" ht="12.75" customHeight="1" x14ac:dyDescent="0.3">
      <c r="A13" s="319"/>
      <c r="B13" s="907"/>
      <c r="C13" s="907"/>
      <c r="D13" s="958" t="s">
        <v>41</v>
      </c>
      <c r="E13" s="958"/>
      <c r="F13" s="958" t="s">
        <v>42</v>
      </c>
      <c r="G13" s="958"/>
      <c r="H13" s="321" t="s">
        <v>557</v>
      </c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>
        <f>SUM(IT7:IT12)+IO6</f>
        <v>1</v>
      </c>
      <c r="IU13" s="311"/>
      <c r="IV13" s="311"/>
    </row>
    <row r="14" spans="1:256" s="310" customFormat="1" ht="12.75" customHeight="1" x14ac:dyDescent="0.3">
      <c r="A14" s="322" t="s">
        <v>558</v>
      </c>
      <c r="B14" s="960">
        <f>B15+B18+B21+B24+B25</f>
        <v>462762.58</v>
      </c>
      <c r="C14" s="960"/>
      <c r="D14" s="960">
        <f>D15+D18+D21+D24+D25</f>
        <v>462762.58</v>
      </c>
      <c r="E14" s="960"/>
      <c r="F14" s="960">
        <f>F15+F18+F21+F24+F25</f>
        <v>309747.44999999995</v>
      </c>
      <c r="G14" s="960"/>
      <c r="H14" s="323">
        <f t="shared" ref="H14:H38" si="1">IF(D14="",0,IF(D14=0,0,F14/D14))</f>
        <v>0.66934420237695091</v>
      </c>
      <c r="I14" s="324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25" t="s">
        <v>559</v>
      </c>
      <c r="IV14" s="311">
        <f>+'Informações Iniciais'!C23</f>
        <v>0</v>
      </c>
    </row>
    <row r="15" spans="1:256" s="310" customFormat="1" ht="12.75" customHeight="1" x14ac:dyDescent="0.3">
      <c r="A15" s="326" t="s">
        <v>560</v>
      </c>
      <c r="B15" s="822">
        <f>+B16+B17</f>
        <v>19500.259999999998</v>
      </c>
      <c r="C15" s="822"/>
      <c r="D15" s="822">
        <f>+D16+D17</f>
        <v>19500.259999999998</v>
      </c>
      <c r="E15" s="822"/>
      <c r="F15" s="822">
        <f>+F16+F17</f>
        <v>0</v>
      </c>
      <c r="G15" s="822"/>
      <c r="H15" s="323">
        <f t="shared" si="1"/>
        <v>0</v>
      </c>
    </row>
    <row r="16" spans="1:256" s="310" customFormat="1" ht="12.75" customHeight="1" x14ac:dyDescent="0.3">
      <c r="A16" s="326" t="s">
        <v>561</v>
      </c>
      <c r="B16" s="770">
        <v>19500.259999999998</v>
      </c>
      <c r="C16" s="770"/>
      <c r="D16" s="770">
        <v>19500.259999999998</v>
      </c>
      <c r="E16" s="770"/>
      <c r="F16" s="770"/>
      <c r="G16" s="770"/>
      <c r="H16" s="323">
        <f t="shared" si="1"/>
        <v>0</v>
      </c>
    </row>
    <row r="17" spans="1:9" s="310" customFormat="1" ht="12.75" customHeight="1" x14ac:dyDescent="0.3">
      <c r="A17" s="326" t="s">
        <v>562</v>
      </c>
      <c r="B17" s="770"/>
      <c r="C17" s="770"/>
      <c r="D17" s="770"/>
      <c r="E17" s="770"/>
      <c r="F17" s="770"/>
      <c r="G17" s="770"/>
      <c r="H17" s="323">
        <f t="shared" si="1"/>
        <v>0</v>
      </c>
    </row>
    <row r="18" spans="1:9" s="310" customFormat="1" ht="12.75" customHeight="1" x14ac:dyDescent="0.3">
      <c r="A18" s="326" t="s">
        <v>563</v>
      </c>
      <c r="B18" s="822">
        <f>+B19+B20</f>
        <v>17192.5</v>
      </c>
      <c r="C18" s="822"/>
      <c r="D18" s="822">
        <f>+D19+D20</f>
        <v>17192.5</v>
      </c>
      <c r="E18" s="822"/>
      <c r="F18" s="822">
        <f>+F19+F20</f>
        <v>12529.41</v>
      </c>
      <c r="G18" s="822"/>
      <c r="H18" s="323">
        <f t="shared" si="1"/>
        <v>0.7287718481896176</v>
      </c>
    </row>
    <row r="19" spans="1:9" s="310" customFormat="1" ht="12.75" customHeight="1" x14ac:dyDescent="0.3">
      <c r="A19" s="326" t="s">
        <v>564</v>
      </c>
      <c r="B19" s="770">
        <v>17192.5</v>
      </c>
      <c r="C19" s="770"/>
      <c r="D19" s="770">
        <v>17192.5</v>
      </c>
      <c r="E19" s="770"/>
      <c r="F19" s="770">
        <v>12529.41</v>
      </c>
      <c r="G19" s="770"/>
      <c r="H19" s="323">
        <f t="shared" si="1"/>
        <v>0.7287718481896176</v>
      </c>
    </row>
    <row r="20" spans="1:9" s="310" customFormat="1" ht="12.75" customHeight="1" x14ac:dyDescent="0.3">
      <c r="A20" s="326" t="s">
        <v>565</v>
      </c>
      <c r="B20" s="770"/>
      <c r="C20" s="770"/>
      <c r="D20" s="770"/>
      <c r="E20" s="770"/>
      <c r="F20" s="770"/>
      <c r="G20" s="770"/>
      <c r="H20" s="323">
        <f t="shared" si="1"/>
        <v>0</v>
      </c>
    </row>
    <row r="21" spans="1:9" s="310" customFormat="1" ht="12.75" customHeight="1" x14ac:dyDescent="0.3">
      <c r="A21" s="326" t="s">
        <v>566</v>
      </c>
      <c r="B21" s="822">
        <f>+B22+B23</f>
        <v>300829.07</v>
      </c>
      <c r="C21" s="822"/>
      <c r="D21" s="822">
        <f>+D22+D23</f>
        <v>300829.07</v>
      </c>
      <c r="E21" s="822"/>
      <c r="F21" s="822">
        <f>+F22+F23</f>
        <v>297218.03999999998</v>
      </c>
      <c r="G21" s="822"/>
      <c r="H21" s="323">
        <f t="shared" si="1"/>
        <v>0.98799640606541106</v>
      </c>
    </row>
    <row r="22" spans="1:9" s="310" customFormat="1" ht="12.75" customHeight="1" x14ac:dyDescent="0.3">
      <c r="A22" s="326" t="s">
        <v>567</v>
      </c>
      <c r="B22" s="770">
        <v>300829.07</v>
      </c>
      <c r="C22" s="770"/>
      <c r="D22" s="770">
        <v>300829.07</v>
      </c>
      <c r="E22" s="770"/>
      <c r="F22" s="770">
        <v>297218.03999999998</v>
      </c>
      <c r="G22" s="770"/>
      <c r="H22" s="323">
        <f t="shared" si="1"/>
        <v>0.98799640606541106</v>
      </c>
    </row>
    <row r="23" spans="1:9" s="310" customFormat="1" ht="12.75" customHeight="1" x14ac:dyDescent="0.3">
      <c r="A23" s="326" t="s">
        <v>568</v>
      </c>
      <c r="B23" s="770"/>
      <c r="C23" s="770"/>
      <c r="D23" s="770"/>
      <c r="E23" s="770"/>
      <c r="F23" s="770"/>
      <c r="G23" s="770"/>
      <c r="H23" s="323">
        <f t="shared" si="1"/>
        <v>0</v>
      </c>
    </row>
    <row r="24" spans="1:9" s="310" customFormat="1" ht="12.75" customHeight="1" x14ac:dyDescent="0.3">
      <c r="A24" s="322" t="s">
        <v>569</v>
      </c>
      <c r="B24" s="770">
        <v>118496</v>
      </c>
      <c r="C24" s="770"/>
      <c r="D24" s="770">
        <v>118496</v>
      </c>
      <c r="E24" s="770"/>
      <c r="F24" s="770"/>
      <c r="G24" s="770"/>
      <c r="H24" s="323">
        <f t="shared" si="1"/>
        <v>0</v>
      </c>
    </row>
    <row r="25" spans="1:9" s="310" customFormat="1" ht="12.75" customHeight="1" x14ac:dyDescent="0.3">
      <c r="A25" s="322" t="s">
        <v>570</v>
      </c>
      <c r="B25" s="822">
        <f>+B26+B27</f>
        <v>6744.75</v>
      </c>
      <c r="C25" s="822"/>
      <c r="D25" s="822">
        <f>+D26+D27</f>
        <v>6744.75</v>
      </c>
      <c r="E25" s="822"/>
      <c r="F25" s="822">
        <f>+F26+F27</f>
        <v>0</v>
      </c>
      <c r="G25" s="822"/>
      <c r="H25" s="323">
        <f t="shared" si="1"/>
        <v>0</v>
      </c>
    </row>
    <row r="26" spans="1:9" s="310" customFormat="1" ht="12.75" customHeight="1" x14ac:dyDescent="0.3">
      <c r="A26" s="326" t="s">
        <v>571</v>
      </c>
      <c r="B26" s="770">
        <v>6744.75</v>
      </c>
      <c r="C26" s="770"/>
      <c r="D26" s="770">
        <v>6744.75</v>
      </c>
      <c r="E26" s="770"/>
      <c r="F26" s="770"/>
      <c r="G26" s="770"/>
      <c r="H26" s="323">
        <f t="shared" si="1"/>
        <v>0</v>
      </c>
    </row>
    <row r="27" spans="1:9" s="310" customFormat="1" ht="12.75" customHeight="1" x14ac:dyDescent="0.3">
      <c r="A27" s="326" t="s">
        <v>572</v>
      </c>
      <c r="B27" s="770"/>
      <c r="C27" s="770"/>
      <c r="D27" s="770"/>
      <c r="E27" s="770"/>
      <c r="F27" s="770"/>
      <c r="G27" s="770"/>
      <c r="H27" s="323">
        <f t="shared" si="1"/>
        <v>0</v>
      </c>
    </row>
    <row r="28" spans="1:9" s="310" customFormat="1" ht="12.75" customHeight="1" x14ac:dyDescent="0.3">
      <c r="A28" s="322" t="s">
        <v>573</v>
      </c>
      <c r="B28" s="960">
        <f>SUM(B29,B32:C37)</f>
        <v>9577690.4900000002</v>
      </c>
      <c r="C28" s="960"/>
      <c r="D28" s="960">
        <f>SUM(D29,D32:E37)</f>
        <v>9577690.4900000002</v>
      </c>
      <c r="E28" s="960"/>
      <c r="F28" s="960">
        <f>SUM(F29,F32:G37)</f>
        <v>3783037.95</v>
      </c>
      <c r="G28" s="960"/>
      <c r="H28" s="323">
        <f t="shared" si="1"/>
        <v>0.39498436015966937</v>
      </c>
      <c r="I28" s="327"/>
    </row>
    <row r="29" spans="1:9" s="310" customFormat="1" ht="12.75" customHeight="1" x14ac:dyDescent="0.3">
      <c r="A29" s="322" t="s">
        <v>574</v>
      </c>
      <c r="B29" s="822">
        <f>SUM(B30:B31)</f>
        <v>8762435.3499999996</v>
      </c>
      <c r="C29" s="822"/>
      <c r="D29" s="822">
        <f>SUM(D30:D31)</f>
        <v>8762435.3499999996</v>
      </c>
      <c r="E29" s="822"/>
      <c r="F29" s="822">
        <f>SUM(F30:F31)</f>
        <v>3071142.26</v>
      </c>
      <c r="G29" s="822"/>
      <c r="H29" s="323">
        <f t="shared" si="1"/>
        <v>0.35048957707859152</v>
      </c>
    </row>
    <row r="30" spans="1:9" s="310" customFormat="1" ht="12.75" customHeight="1" x14ac:dyDescent="0.3">
      <c r="A30" s="322" t="s">
        <v>575</v>
      </c>
      <c r="B30" s="770">
        <v>8762435.3499999996</v>
      </c>
      <c r="C30" s="770"/>
      <c r="D30" s="770">
        <v>8762435.3499999996</v>
      </c>
      <c r="E30" s="770"/>
      <c r="F30" s="770">
        <v>3071142.26</v>
      </c>
      <c r="G30" s="770"/>
      <c r="H30" s="323">
        <f t="shared" si="1"/>
        <v>0.35048957707859152</v>
      </c>
    </row>
    <row r="31" spans="1:9" s="310" customFormat="1" ht="12.75" customHeight="1" x14ac:dyDescent="0.3">
      <c r="A31" s="322" t="s">
        <v>576</v>
      </c>
      <c r="B31" s="770"/>
      <c r="C31" s="770"/>
      <c r="D31" s="770"/>
      <c r="E31" s="770"/>
      <c r="F31" s="770"/>
      <c r="G31" s="770"/>
      <c r="H31" s="323">
        <f t="shared" si="1"/>
        <v>0</v>
      </c>
    </row>
    <row r="32" spans="1:9" s="310" customFormat="1" ht="12.75" customHeight="1" x14ac:dyDescent="0.3">
      <c r="A32" s="322" t="s">
        <v>577</v>
      </c>
      <c r="B32" s="770">
        <v>593736.39</v>
      </c>
      <c r="C32" s="770"/>
      <c r="D32" s="770">
        <v>593736.39</v>
      </c>
      <c r="E32" s="770"/>
      <c r="F32" s="770">
        <v>588342.99</v>
      </c>
      <c r="G32" s="770"/>
      <c r="H32" s="323">
        <f t="shared" si="1"/>
        <v>0.99091617072687754</v>
      </c>
    </row>
    <row r="33" spans="1:9" s="310" customFormat="1" ht="12.75" customHeight="1" x14ac:dyDescent="0.3">
      <c r="A33" s="322" t="s">
        <v>578</v>
      </c>
      <c r="B33" s="770">
        <v>82920.75</v>
      </c>
      <c r="C33" s="770"/>
      <c r="D33" s="770">
        <v>82920.75</v>
      </c>
      <c r="E33" s="770"/>
      <c r="F33" s="770">
        <v>6689.2</v>
      </c>
      <c r="G33" s="770"/>
      <c r="H33" s="323">
        <f t="shared" si="1"/>
        <v>8.0669796160792076E-2</v>
      </c>
    </row>
    <row r="34" spans="1:9" s="310" customFormat="1" ht="12.75" customHeight="1" x14ac:dyDescent="0.3">
      <c r="A34" s="322" t="s">
        <v>579</v>
      </c>
      <c r="B34" s="770">
        <v>36368.75</v>
      </c>
      <c r="C34" s="770"/>
      <c r="D34" s="770">
        <v>36368.75</v>
      </c>
      <c r="E34" s="770"/>
      <c r="F34" s="770">
        <v>5173.3999999999996</v>
      </c>
      <c r="G34" s="770"/>
      <c r="H34" s="323">
        <f t="shared" si="1"/>
        <v>0.14224849630520708</v>
      </c>
    </row>
    <row r="35" spans="1:9" s="310" customFormat="1" ht="12.75" customHeight="1" x14ac:dyDescent="0.3">
      <c r="A35" s="322" t="s">
        <v>580</v>
      </c>
      <c r="B35" s="770">
        <v>10976.75</v>
      </c>
      <c r="C35" s="770"/>
      <c r="D35" s="770">
        <v>10976.75</v>
      </c>
      <c r="E35" s="770"/>
      <c r="F35" s="770">
        <v>1034.5999999999999</v>
      </c>
      <c r="G35" s="770"/>
      <c r="H35" s="323">
        <f t="shared" si="1"/>
        <v>9.4253763636777732E-2</v>
      </c>
    </row>
    <row r="36" spans="1:9" s="310" customFormat="1" ht="12.75" customHeight="1" x14ac:dyDescent="0.3">
      <c r="A36" s="322" t="s">
        <v>581</v>
      </c>
      <c r="B36" s="770">
        <v>91252.5</v>
      </c>
      <c r="C36" s="770"/>
      <c r="D36" s="770">
        <v>91252.5</v>
      </c>
      <c r="E36" s="770"/>
      <c r="F36" s="770">
        <v>110655.5</v>
      </c>
      <c r="G36" s="770"/>
      <c r="H36" s="323">
        <f t="shared" si="1"/>
        <v>1.2126297909646311</v>
      </c>
    </row>
    <row r="37" spans="1:9" s="310" customFormat="1" ht="12.75" customHeight="1" x14ac:dyDescent="0.3">
      <c r="A37" s="322" t="s">
        <v>582</v>
      </c>
      <c r="B37" s="770"/>
      <c r="C37" s="770"/>
      <c r="D37" s="770"/>
      <c r="E37" s="770"/>
      <c r="F37" s="770"/>
      <c r="G37" s="770"/>
      <c r="H37" s="323">
        <f t="shared" si="1"/>
        <v>0</v>
      </c>
    </row>
    <row r="38" spans="1:9" s="310" customFormat="1" ht="12.75" customHeight="1" x14ac:dyDescent="0.3">
      <c r="A38" s="328" t="s">
        <v>583</v>
      </c>
      <c r="B38" s="953">
        <f>B14+B28</f>
        <v>10040453.07</v>
      </c>
      <c r="C38" s="953"/>
      <c r="D38" s="953">
        <f>D14+D28</f>
        <v>10040453.07</v>
      </c>
      <c r="E38" s="953"/>
      <c r="F38" s="953">
        <f>F14+F28</f>
        <v>4092785.4000000004</v>
      </c>
      <c r="G38" s="953"/>
      <c r="H38" s="329">
        <f t="shared" si="1"/>
        <v>0.40762955331456974</v>
      </c>
      <c r="I38" s="327"/>
    </row>
    <row r="39" spans="1:9" s="310" customFormat="1" ht="12.75" customHeight="1" x14ac:dyDescent="0.3">
      <c r="A39" s="330"/>
      <c r="B39" s="907" t="s">
        <v>34</v>
      </c>
      <c r="C39" s="907"/>
      <c r="D39" s="959" t="s">
        <v>35</v>
      </c>
      <c r="E39" s="959"/>
      <c r="F39" s="956" t="s">
        <v>36</v>
      </c>
      <c r="G39" s="956"/>
      <c r="H39" s="956"/>
    </row>
    <row r="40" spans="1:9" s="310" customFormat="1" ht="12.75" customHeight="1" x14ac:dyDescent="0.3">
      <c r="A40" s="331" t="s">
        <v>584</v>
      </c>
      <c r="B40" s="907"/>
      <c r="C40" s="907"/>
      <c r="D40" s="959"/>
      <c r="E40" s="959"/>
      <c r="F40" s="955" t="s">
        <v>40</v>
      </c>
      <c r="G40" s="955"/>
      <c r="H40" s="318" t="s">
        <v>39</v>
      </c>
    </row>
    <row r="41" spans="1:9" s="310" customFormat="1" ht="12.75" customHeight="1" x14ac:dyDescent="0.3">
      <c r="A41" s="319"/>
      <c r="B41" s="907"/>
      <c r="C41" s="907"/>
      <c r="D41" s="958" t="s">
        <v>41</v>
      </c>
      <c r="E41" s="958"/>
      <c r="F41" s="958" t="s">
        <v>42</v>
      </c>
      <c r="G41" s="958"/>
      <c r="H41" s="321" t="s">
        <v>557</v>
      </c>
    </row>
    <row r="42" spans="1:9" s="310" customFormat="1" ht="25.5" customHeight="1" x14ac:dyDescent="0.3">
      <c r="A42" s="322" t="s">
        <v>585</v>
      </c>
      <c r="B42" s="782"/>
      <c r="C42" s="782"/>
      <c r="D42" s="782"/>
      <c r="E42" s="782"/>
      <c r="F42" s="782"/>
      <c r="G42" s="782"/>
      <c r="H42" s="323">
        <f t="shared" ref="H42:H55" si="2">IF(D42="",0,IF(D42=0,0,F42/D42))</f>
        <v>0</v>
      </c>
      <c r="I42" s="332"/>
    </row>
    <row r="43" spans="1:9" s="310" customFormat="1" ht="12.75" customHeight="1" x14ac:dyDescent="0.3">
      <c r="A43" s="322" t="s">
        <v>586</v>
      </c>
      <c r="B43" s="822">
        <f>SUM(B44:C49)</f>
        <v>0</v>
      </c>
      <c r="C43" s="822"/>
      <c r="D43" s="822">
        <f>SUM(D44:E49)</f>
        <v>0</v>
      </c>
      <c r="E43" s="822"/>
      <c r="F43" s="822">
        <f>SUM(F44:G49)</f>
        <v>0</v>
      </c>
      <c r="G43" s="822"/>
      <c r="H43" s="323">
        <f t="shared" si="2"/>
        <v>0</v>
      </c>
      <c r="I43" s="332"/>
    </row>
    <row r="44" spans="1:9" s="310" customFormat="1" ht="12.75" customHeight="1" x14ac:dyDescent="0.3">
      <c r="A44" s="322" t="s">
        <v>587</v>
      </c>
      <c r="B44" s="770"/>
      <c r="C44" s="770"/>
      <c r="D44" s="770"/>
      <c r="E44" s="770"/>
      <c r="F44" s="770"/>
      <c r="G44" s="770"/>
      <c r="H44" s="323">
        <f t="shared" si="2"/>
        <v>0</v>
      </c>
      <c r="I44" s="332"/>
    </row>
    <row r="45" spans="1:9" s="310" customFormat="1" ht="12.75" customHeight="1" x14ac:dyDescent="0.3">
      <c r="A45" s="333" t="s">
        <v>588</v>
      </c>
      <c r="B45" s="770"/>
      <c r="C45" s="770"/>
      <c r="D45" s="770"/>
      <c r="E45" s="770"/>
      <c r="F45" s="770"/>
      <c r="G45" s="770"/>
      <c r="H45" s="323">
        <f t="shared" si="2"/>
        <v>0</v>
      </c>
      <c r="I45" s="332"/>
    </row>
    <row r="46" spans="1:9" s="310" customFormat="1" ht="12.75" customHeight="1" x14ac:dyDescent="0.3">
      <c r="A46" s="333" t="s">
        <v>589</v>
      </c>
      <c r="B46" s="770"/>
      <c r="C46" s="770"/>
      <c r="D46" s="770"/>
      <c r="E46" s="770"/>
      <c r="F46" s="770"/>
      <c r="G46" s="770"/>
      <c r="H46" s="323">
        <f t="shared" si="2"/>
        <v>0</v>
      </c>
      <c r="I46" s="332"/>
    </row>
    <row r="47" spans="1:9" s="310" customFormat="1" ht="12.75" customHeight="1" x14ac:dyDescent="0.3">
      <c r="A47" s="333" t="s">
        <v>590</v>
      </c>
      <c r="B47" s="770"/>
      <c r="C47" s="770"/>
      <c r="D47" s="770"/>
      <c r="E47" s="770"/>
      <c r="F47" s="770"/>
      <c r="G47" s="770"/>
      <c r="H47" s="323">
        <f t="shared" si="2"/>
        <v>0</v>
      </c>
      <c r="I47" s="332"/>
    </row>
    <row r="48" spans="1:9" s="310" customFormat="1" ht="12.75" customHeight="1" x14ac:dyDescent="0.3">
      <c r="A48" s="322" t="s">
        <v>591</v>
      </c>
      <c r="B48" s="770"/>
      <c r="C48" s="770"/>
      <c r="D48" s="770"/>
      <c r="E48" s="770"/>
      <c r="F48" s="770"/>
      <c r="G48" s="770"/>
      <c r="H48" s="323">
        <f t="shared" si="2"/>
        <v>0</v>
      </c>
      <c r="I48" s="332"/>
    </row>
    <row r="49" spans="1:9" s="310" customFormat="1" ht="12.75" customHeight="1" x14ac:dyDescent="0.3">
      <c r="A49" s="322" t="s">
        <v>592</v>
      </c>
      <c r="B49" s="770"/>
      <c r="C49" s="770"/>
      <c r="D49" s="770"/>
      <c r="E49" s="770"/>
      <c r="F49" s="770"/>
      <c r="G49" s="770"/>
      <c r="H49" s="323">
        <f t="shared" si="2"/>
        <v>0</v>
      </c>
      <c r="I49" s="332"/>
    </row>
    <row r="50" spans="1:9" s="310" customFormat="1" ht="12.75" customHeight="1" x14ac:dyDescent="0.3">
      <c r="A50" s="322" t="s">
        <v>593</v>
      </c>
      <c r="B50" s="822">
        <f>B51+B52</f>
        <v>0</v>
      </c>
      <c r="C50" s="822"/>
      <c r="D50" s="822">
        <f>D51+D52</f>
        <v>0</v>
      </c>
      <c r="E50" s="822"/>
      <c r="F50" s="822">
        <f>F51+F52</f>
        <v>0</v>
      </c>
      <c r="G50" s="822"/>
      <c r="H50" s="323">
        <f t="shared" si="2"/>
        <v>0</v>
      </c>
      <c r="I50" s="332"/>
    </row>
    <row r="51" spans="1:9" s="310" customFormat="1" ht="12.75" customHeight="1" x14ac:dyDescent="0.3">
      <c r="A51" s="334" t="s">
        <v>594</v>
      </c>
      <c r="B51" s="770"/>
      <c r="C51" s="770"/>
      <c r="D51" s="770"/>
      <c r="E51" s="770"/>
      <c r="F51" s="770"/>
      <c r="G51" s="770"/>
      <c r="H51" s="323">
        <f t="shared" si="2"/>
        <v>0</v>
      </c>
    </row>
    <row r="52" spans="1:9" s="310" customFormat="1" ht="12.75" customHeight="1" x14ac:dyDescent="0.3">
      <c r="A52" s="335" t="s">
        <v>595</v>
      </c>
      <c r="B52" s="770"/>
      <c r="C52" s="770"/>
      <c r="D52" s="770"/>
      <c r="E52" s="770"/>
      <c r="F52" s="770"/>
      <c r="G52" s="770"/>
      <c r="H52" s="323">
        <f t="shared" si="2"/>
        <v>0</v>
      </c>
    </row>
    <row r="53" spans="1:9" s="310" customFormat="1" ht="12.75" customHeight="1" x14ac:dyDescent="0.3">
      <c r="A53" s="322" t="s">
        <v>596</v>
      </c>
      <c r="B53" s="770"/>
      <c r="C53" s="770"/>
      <c r="D53" s="770"/>
      <c r="E53" s="770"/>
      <c r="F53" s="770"/>
      <c r="G53" s="770"/>
      <c r="H53" s="323">
        <f t="shared" si="2"/>
        <v>0</v>
      </c>
    </row>
    <row r="54" spans="1:9" s="310" customFormat="1" ht="12.75" customHeight="1" x14ac:dyDescent="0.3">
      <c r="A54" s="322" t="s">
        <v>597</v>
      </c>
      <c r="B54" s="770"/>
      <c r="C54" s="770"/>
      <c r="D54" s="770"/>
      <c r="E54" s="770"/>
      <c r="F54" s="770"/>
      <c r="G54" s="770"/>
      <c r="H54" s="323">
        <f t="shared" si="2"/>
        <v>0</v>
      </c>
    </row>
    <row r="55" spans="1:9" s="310" customFormat="1" ht="15" customHeight="1" x14ac:dyDescent="0.3">
      <c r="A55" s="328" t="s">
        <v>598</v>
      </c>
      <c r="B55" s="953">
        <f>SUM(B42,B43,B50,B53:C54)</f>
        <v>0</v>
      </c>
      <c r="C55" s="953"/>
      <c r="D55" s="953">
        <f>SUM(D42,D43,D50,D53:E54)</f>
        <v>0</v>
      </c>
      <c r="E55" s="953"/>
      <c r="F55" s="953">
        <f>SUM(F42,F43,F50,F53:G54)</f>
        <v>0</v>
      </c>
      <c r="G55" s="953"/>
      <c r="H55" s="329">
        <f t="shared" si="2"/>
        <v>0</v>
      </c>
      <c r="I55" s="327"/>
    </row>
    <row r="56" spans="1:9" s="310" customFormat="1" ht="12.75" customHeight="1" x14ac:dyDescent="0.3">
      <c r="A56" s="954" t="s">
        <v>599</v>
      </c>
      <c r="B56" s="954"/>
      <c r="C56" s="954"/>
      <c r="D56" s="954"/>
      <c r="E56" s="954"/>
      <c r="F56" s="954"/>
      <c r="G56" s="954"/>
      <c r="H56" s="954"/>
    </row>
    <row r="57" spans="1:9" s="310" customFormat="1" ht="12.75" customHeight="1" x14ac:dyDescent="0.3">
      <c r="A57" s="330"/>
      <c r="B57" s="907" t="s">
        <v>34</v>
      </c>
      <c r="C57" s="907"/>
      <c r="D57" s="955" t="s">
        <v>600</v>
      </c>
      <c r="E57" s="955"/>
      <c r="F57" s="956" t="s">
        <v>36</v>
      </c>
      <c r="G57" s="956"/>
      <c r="H57" s="956"/>
    </row>
    <row r="58" spans="1:9" s="310" customFormat="1" ht="12.75" customHeight="1" x14ac:dyDescent="0.3">
      <c r="A58" s="331" t="s">
        <v>601</v>
      </c>
      <c r="B58" s="907"/>
      <c r="C58" s="907"/>
      <c r="D58" s="957" t="s">
        <v>172</v>
      </c>
      <c r="E58" s="957"/>
      <c r="F58" s="955" t="s">
        <v>40</v>
      </c>
      <c r="G58" s="955"/>
      <c r="H58" s="318" t="s">
        <v>39</v>
      </c>
    </row>
    <row r="59" spans="1:9" s="310" customFormat="1" ht="12.75" customHeight="1" x14ac:dyDescent="0.3">
      <c r="A59" s="337"/>
      <c r="B59" s="907"/>
      <c r="C59" s="907"/>
      <c r="D59" s="958" t="s">
        <v>41</v>
      </c>
      <c r="E59" s="958"/>
      <c r="F59" s="958" t="s">
        <v>42</v>
      </c>
      <c r="G59" s="958"/>
      <c r="H59" s="321" t="s">
        <v>557</v>
      </c>
    </row>
    <row r="60" spans="1:9" s="310" customFormat="1" ht="12.75" customHeight="1" x14ac:dyDescent="0.3">
      <c r="A60" s="338" t="s">
        <v>602</v>
      </c>
      <c r="B60" s="822">
        <f>SUM(B61:C66)</f>
        <v>1916887.05</v>
      </c>
      <c r="C60" s="822"/>
      <c r="D60" s="822">
        <f>SUM(D61:E66)</f>
        <v>1916887.05</v>
      </c>
      <c r="E60" s="822"/>
      <c r="F60" s="822">
        <f>SUM(F61:G66)</f>
        <v>756607.59</v>
      </c>
      <c r="G60" s="822"/>
      <c r="H60" s="323">
        <f t="shared" ref="H60:H71" si="3">IF(D60="",0,IF(D60=0,0,F60/D60))</f>
        <v>0.39470640171521842</v>
      </c>
    </row>
    <row r="61" spans="1:9" s="310" customFormat="1" ht="12.75" customHeight="1" x14ac:dyDescent="0.3">
      <c r="A61" s="322" t="s">
        <v>603</v>
      </c>
      <c r="B61" s="770">
        <v>1752487.07</v>
      </c>
      <c r="C61" s="770"/>
      <c r="D61" s="770">
        <v>1752487.07</v>
      </c>
      <c r="E61" s="770"/>
      <c r="F61" s="770">
        <v>614228.44999999995</v>
      </c>
      <c r="G61" s="770"/>
      <c r="H61" s="323">
        <f t="shared" si="3"/>
        <v>0.35048957593735625</v>
      </c>
    </row>
    <row r="62" spans="1:9" s="310" customFormat="1" ht="12.75" customHeight="1" x14ac:dyDescent="0.3">
      <c r="A62" s="322" t="s">
        <v>604</v>
      </c>
      <c r="B62" s="770">
        <v>118747.28</v>
      </c>
      <c r="C62" s="770"/>
      <c r="D62" s="770">
        <v>118747.28</v>
      </c>
      <c r="E62" s="770"/>
      <c r="F62" s="770">
        <v>117668.6</v>
      </c>
      <c r="G62" s="770"/>
      <c r="H62" s="323">
        <f t="shared" si="3"/>
        <v>0.99091617087987205</v>
      </c>
    </row>
    <row r="63" spans="1:9" s="310" customFormat="1" ht="12.75" customHeight="1" x14ac:dyDescent="0.3">
      <c r="A63" s="322" t="s">
        <v>605</v>
      </c>
      <c r="B63" s="770">
        <v>16584.150000000001</v>
      </c>
      <c r="C63" s="770"/>
      <c r="D63" s="770">
        <v>16584.150000000001</v>
      </c>
      <c r="E63" s="770"/>
      <c r="F63" s="770">
        <v>1337.84</v>
      </c>
      <c r="G63" s="770"/>
      <c r="H63" s="323">
        <f t="shared" si="3"/>
        <v>8.0669796160792076E-2</v>
      </c>
    </row>
    <row r="64" spans="1:9" s="310" customFormat="1" ht="12.75" customHeight="1" x14ac:dyDescent="0.3">
      <c r="A64" s="322" t="s">
        <v>606</v>
      </c>
      <c r="B64" s="770">
        <v>7273.75</v>
      </c>
      <c r="C64" s="770"/>
      <c r="D64" s="770">
        <v>7273.75</v>
      </c>
      <c r="E64" s="770"/>
      <c r="F64" s="770">
        <v>1034.68</v>
      </c>
      <c r="G64" s="770"/>
      <c r="H64" s="323">
        <f t="shared" si="3"/>
        <v>0.14224849630520708</v>
      </c>
    </row>
    <row r="65" spans="1:12" s="310" customFormat="1" ht="11.25" customHeight="1" x14ac:dyDescent="0.3">
      <c r="A65" s="322" t="s">
        <v>607</v>
      </c>
      <c r="B65" s="770">
        <v>3544.3</v>
      </c>
      <c r="C65" s="770"/>
      <c r="D65" s="770">
        <v>3544.3</v>
      </c>
      <c r="E65" s="770"/>
      <c r="F65" s="770">
        <v>206.92</v>
      </c>
      <c r="G65" s="770"/>
      <c r="H65" s="323">
        <f t="shared" si="3"/>
        <v>5.8381062551138438E-2</v>
      </c>
    </row>
    <row r="66" spans="1:12" s="310" customFormat="1" ht="12.75" customHeight="1" x14ac:dyDescent="0.3">
      <c r="A66" s="322" t="s">
        <v>608</v>
      </c>
      <c r="B66" s="770">
        <v>18250.5</v>
      </c>
      <c r="C66" s="770"/>
      <c r="D66" s="770">
        <v>18250.5</v>
      </c>
      <c r="E66" s="770"/>
      <c r="F66" s="770">
        <v>22131.1</v>
      </c>
      <c r="G66" s="770"/>
      <c r="H66" s="323">
        <f t="shared" si="3"/>
        <v>1.2126297909646311</v>
      </c>
    </row>
    <row r="67" spans="1:12" s="310" customFormat="1" ht="12.75" customHeight="1" x14ac:dyDescent="0.3">
      <c r="A67" s="322" t="s">
        <v>609</v>
      </c>
      <c r="B67" s="822">
        <f>SUM(B68:C70)</f>
        <v>17589250</v>
      </c>
      <c r="C67" s="822"/>
      <c r="D67" s="822">
        <f>SUM(D68:E70)</f>
        <v>17589250</v>
      </c>
      <c r="E67" s="822"/>
      <c r="F67" s="822">
        <f>SUM(F68:G70)</f>
        <v>3879075.8600000003</v>
      </c>
      <c r="G67" s="822"/>
      <c r="H67" s="323">
        <f t="shared" si="3"/>
        <v>0.22053674033855908</v>
      </c>
      <c r="I67" s="332"/>
    </row>
    <row r="68" spans="1:12" s="310" customFormat="1" ht="12.75" customHeight="1" x14ac:dyDescent="0.3">
      <c r="A68" s="322" t="s">
        <v>610</v>
      </c>
      <c r="B68" s="770">
        <v>9918750</v>
      </c>
      <c r="C68" s="770"/>
      <c r="D68" s="770">
        <v>9918750</v>
      </c>
      <c r="E68" s="770"/>
      <c r="F68" s="770">
        <v>1925828.78</v>
      </c>
      <c r="G68" s="770"/>
      <c r="H68" s="323">
        <f t="shared" si="3"/>
        <v>0.19416043150598614</v>
      </c>
    </row>
    <row r="69" spans="1:12" s="310" customFormat="1" ht="12.75" customHeight="1" x14ac:dyDescent="0.3">
      <c r="A69" s="322" t="s">
        <v>611</v>
      </c>
      <c r="B69" s="770">
        <v>7670500</v>
      </c>
      <c r="C69" s="770"/>
      <c r="D69" s="770">
        <v>7670500</v>
      </c>
      <c r="E69" s="770"/>
      <c r="F69" s="770">
        <v>1953247.08</v>
      </c>
      <c r="G69" s="770"/>
      <c r="H69" s="323">
        <f t="shared" si="3"/>
        <v>0.25464403624274823</v>
      </c>
    </row>
    <row r="70" spans="1:12" s="310" customFormat="1" ht="12.75" customHeight="1" x14ac:dyDescent="0.3">
      <c r="A70" s="322" t="s">
        <v>612</v>
      </c>
      <c r="B70" s="770"/>
      <c r="C70" s="770"/>
      <c r="D70" s="770"/>
      <c r="E70" s="770"/>
      <c r="F70" s="770"/>
      <c r="G70" s="770"/>
      <c r="H70" s="323">
        <f t="shared" si="3"/>
        <v>0</v>
      </c>
    </row>
    <row r="71" spans="1:12" s="310" customFormat="1" ht="12.75" customHeight="1" x14ac:dyDescent="0.3">
      <c r="A71" s="328" t="s">
        <v>613</v>
      </c>
      <c r="B71" s="953">
        <f>B68-B60</f>
        <v>8001862.9500000002</v>
      </c>
      <c r="C71" s="953"/>
      <c r="D71" s="953">
        <f>D68-D60</f>
        <v>8001862.9500000002</v>
      </c>
      <c r="E71" s="953"/>
      <c r="F71" s="953">
        <f>F68-F60</f>
        <v>1169221.19</v>
      </c>
      <c r="G71" s="953"/>
      <c r="H71" s="339">
        <f t="shared" si="3"/>
        <v>0.14611862228907582</v>
      </c>
    </row>
    <row r="72" spans="1:12" s="310" customFormat="1" ht="13.15" customHeight="1" x14ac:dyDescent="0.3">
      <c r="A72" s="947" t="s">
        <v>614</v>
      </c>
      <c r="B72" s="947"/>
      <c r="C72" s="947"/>
      <c r="D72" s="947"/>
      <c r="E72" s="947"/>
      <c r="F72" s="948">
        <f>IF(F71&gt;0,F71,0)</f>
        <v>1169221.19</v>
      </c>
      <c r="G72" s="948"/>
      <c r="H72" s="949"/>
      <c r="I72" s="340"/>
      <c r="J72" s="340"/>
      <c r="K72" s="340"/>
      <c r="L72" s="327"/>
    </row>
    <row r="73" spans="1:12" s="310" customFormat="1" ht="13.15" customHeight="1" x14ac:dyDescent="0.3">
      <c r="A73" s="950" t="s">
        <v>615</v>
      </c>
      <c r="B73" s="950"/>
      <c r="C73" s="950"/>
      <c r="D73" s="950"/>
      <c r="E73" s="950"/>
      <c r="F73" s="948">
        <f>IF(F71&lt;0,F71,0)</f>
        <v>0</v>
      </c>
      <c r="G73" s="948"/>
      <c r="H73" s="949"/>
      <c r="I73" s="341"/>
      <c r="J73" s="341"/>
      <c r="K73" s="341"/>
      <c r="L73" s="327"/>
    </row>
    <row r="74" spans="1:12" s="310" customFormat="1" ht="44.25" customHeight="1" x14ac:dyDescent="0.3">
      <c r="A74" s="951" t="s">
        <v>616</v>
      </c>
      <c r="B74" s="952" t="s">
        <v>119</v>
      </c>
      <c r="C74" s="952" t="s">
        <v>120</v>
      </c>
      <c r="D74" s="908" t="s">
        <v>121</v>
      </c>
      <c r="E74" s="908"/>
      <c r="F74" s="907" t="s">
        <v>122</v>
      </c>
      <c r="G74" s="907"/>
      <c r="H74" s="922" t="s">
        <v>617</v>
      </c>
      <c r="I74" s="342"/>
      <c r="J74" s="343"/>
      <c r="K74" s="344"/>
      <c r="L74" s="327"/>
    </row>
    <row r="75" spans="1:12" s="310" customFormat="1" ht="12.75" customHeight="1" x14ac:dyDescent="0.3">
      <c r="A75" s="951"/>
      <c r="B75" s="952"/>
      <c r="C75" s="952"/>
      <c r="D75" s="317" t="s">
        <v>40</v>
      </c>
      <c r="E75" s="318" t="s">
        <v>39</v>
      </c>
      <c r="F75" s="317" t="s">
        <v>40</v>
      </c>
      <c r="G75" s="318" t="s">
        <v>39</v>
      </c>
      <c r="H75" s="922"/>
      <c r="I75" s="344"/>
      <c r="J75" s="344"/>
      <c r="K75" s="327"/>
      <c r="L75" s="327"/>
    </row>
    <row r="76" spans="1:12" s="310" customFormat="1" ht="12.75" customHeight="1" x14ac:dyDescent="0.3">
      <c r="A76" s="951"/>
      <c r="B76" s="952"/>
      <c r="C76" s="336" t="s">
        <v>126</v>
      </c>
      <c r="D76" s="336" t="s">
        <v>127</v>
      </c>
      <c r="E76" s="331" t="s">
        <v>618</v>
      </c>
      <c r="F76" s="336" t="s">
        <v>619</v>
      </c>
      <c r="G76" s="331" t="s">
        <v>620</v>
      </c>
      <c r="H76" s="345" t="s">
        <v>621</v>
      </c>
      <c r="I76" s="344"/>
      <c r="J76" s="344"/>
      <c r="K76" s="344"/>
      <c r="L76" s="327"/>
    </row>
    <row r="77" spans="1:12" s="310" customFormat="1" ht="12.75" customHeight="1" x14ac:dyDescent="0.3">
      <c r="A77" s="346" t="s">
        <v>622</v>
      </c>
      <c r="B77" s="347">
        <f>SUM(B78:B79)</f>
        <v>10164850.039999999</v>
      </c>
      <c r="C77" s="347">
        <f>SUM(C78:C79)</f>
        <v>10654173.800000001</v>
      </c>
      <c r="D77" s="347">
        <f>SUM(D78:D79)</f>
        <v>2193831.35</v>
      </c>
      <c r="E77" s="348">
        <f t="shared" ref="E77:E83" si="4">IF($C77="",0,IF($C77=0,0,D77/$C77))</f>
        <v>0.20591285548580032</v>
      </c>
      <c r="F77" s="347">
        <f>SUM(F78:F79)</f>
        <v>4082317.32</v>
      </c>
      <c r="G77" s="348">
        <f t="shared" ref="G77:G83" si="5">IF($C77="",0,IF($C77=0,0,F77/$C77))</f>
        <v>0.38316601518176846</v>
      </c>
      <c r="H77" s="349">
        <f>SUM(H78:H79)</f>
        <v>0</v>
      </c>
    </row>
    <row r="78" spans="1:12" s="310" customFormat="1" ht="12.75" customHeight="1" x14ac:dyDescent="0.3">
      <c r="A78" s="350" t="s">
        <v>623</v>
      </c>
      <c r="B78" s="351"/>
      <c r="C78" s="351"/>
      <c r="D78" s="351"/>
      <c r="E78" s="352">
        <f t="shared" si="4"/>
        <v>0</v>
      </c>
      <c r="F78" s="351"/>
      <c r="G78" s="352">
        <f t="shared" si="5"/>
        <v>0</v>
      </c>
      <c r="H78" s="353"/>
    </row>
    <row r="79" spans="1:12" s="310" customFormat="1" ht="12.75" customHeight="1" x14ac:dyDescent="0.3">
      <c r="A79" s="350" t="s">
        <v>624</v>
      </c>
      <c r="B79" s="351">
        <v>10164850.039999999</v>
      </c>
      <c r="C79" s="351">
        <v>10654173.800000001</v>
      </c>
      <c r="D79" s="351">
        <v>2193831.35</v>
      </c>
      <c r="E79" s="352">
        <f t="shared" si="4"/>
        <v>0.20591285548580032</v>
      </c>
      <c r="F79" s="351">
        <v>4082317.32</v>
      </c>
      <c r="G79" s="352">
        <f t="shared" si="5"/>
        <v>0.38316601518176846</v>
      </c>
      <c r="H79" s="353"/>
    </row>
    <row r="80" spans="1:12" s="310" customFormat="1" ht="12.75" customHeight="1" x14ac:dyDescent="0.3">
      <c r="A80" s="350" t="s">
        <v>625</v>
      </c>
      <c r="B80" s="354">
        <f>SUM(B81:B82)</f>
        <v>0</v>
      </c>
      <c r="C80" s="354">
        <f>SUM(C81:C82)</f>
        <v>0</v>
      </c>
      <c r="D80" s="354">
        <f>SUM(D81:D82)</f>
        <v>0</v>
      </c>
      <c r="E80" s="352">
        <f t="shared" si="4"/>
        <v>0</v>
      </c>
      <c r="F80" s="354">
        <f>SUM(F81:F82)</f>
        <v>0</v>
      </c>
      <c r="G80" s="352">
        <f t="shared" si="5"/>
        <v>0</v>
      </c>
      <c r="H80" s="355">
        <f>SUM(H81:H82)</f>
        <v>0</v>
      </c>
    </row>
    <row r="81" spans="1:256" s="310" customFormat="1" ht="12.75" customHeight="1" x14ac:dyDescent="0.3">
      <c r="A81" s="350" t="s">
        <v>626</v>
      </c>
      <c r="B81" s="351"/>
      <c r="C81" s="351"/>
      <c r="D81" s="351"/>
      <c r="E81" s="352">
        <f t="shared" si="4"/>
        <v>0</v>
      </c>
      <c r="F81" s="351"/>
      <c r="G81" s="352">
        <f t="shared" si="5"/>
        <v>0</v>
      </c>
      <c r="H81" s="353"/>
    </row>
    <row r="82" spans="1:256" s="310" customFormat="1" ht="12.75" customHeight="1" x14ac:dyDescent="0.3">
      <c r="A82" s="356" t="s">
        <v>627</v>
      </c>
      <c r="B82" s="357"/>
      <c r="C82" s="357"/>
      <c r="D82" s="357"/>
      <c r="E82" s="358">
        <f t="shared" si="4"/>
        <v>0</v>
      </c>
      <c r="F82" s="357"/>
      <c r="G82" s="358">
        <f t="shared" si="5"/>
        <v>0</v>
      </c>
      <c r="H82" s="359"/>
    </row>
    <row r="83" spans="1:256" s="310" customFormat="1" ht="12.75" customHeight="1" x14ac:dyDescent="0.3">
      <c r="A83" s="360" t="s">
        <v>628</v>
      </c>
      <c r="B83" s="361">
        <f>B77+B80</f>
        <v>10164850.039999999</v>
      </c>
      <c r="C83" s="361">
        <f>C77+C80</f>
        <v>10654173.800000001</v>
      </c>
      <c r="D83" s="361">
        <f>D77+D80</f>
        <v>2193831.35</v>
      </c>
      <c r="E83" s="45">
        <f t="shared" si="4"/>
        <v>0.20591285548580032</v>
      </c>
      <c r="F83" s="361">
        <f>F77+F80</f>
        <v>4082317.32</v>
      </c>
      <c r="G83" s="45">
        <f t="shared" si="5"/>
        <v>0.38316601518176846</v>
      </c>
      <c r="H83" s="362">
        <f>H77+H80</f>
        <v>0</v>
      </c>
      <c r="IV83" s="311">
        <f>IF($A$7=$IV$12,IF(D83&lt;&gt;(F83+H83),0,1),1)</f>
        <v>1</v>
      </c>
    </row>
    <row r="84" spans="1:256" s="363" customFormat="1" ht="12.75" customHeight="1" x14ac:dyDescent="0.25">
      <c r="A84" s="944" t="s">
        <v>629</v>
      </c>
      <c r="B84" s="944"/>
      <c r="C84" s="944"/>
      <c r="D84" s="944"/>
      <c r="E84" s="944"/>
      <c r="F84" s="944"/>
      <c r="G84" s="930" t="s">
        <v>411</v>
      </c>
      <c r="H84" s="930"/>
    </row>
    <row r="85" spans="1:256" s="310" customFormat="1" ht="12.75" customHeight="1" x14ac:dyDescent="0.3">
      <c r="A85" s="945" t="s">
        <v>630</v>
      </c>
      <c r="B85" s="945"/>
      <c r="C85" s="945"/>
      <c r="D85" s="364"/>
      <c r="E85" s="364"/>
      <c r="F85" s="365"/>
      <c r="G85" s="946">
        <f>SUM(G86:G87)</f>
        <v>0</v>
      </c>
      <c r="H85" s="946"/>
    </row>
    <row r="86" spans="1:256" s="310" customFormat="1" ht="12.75" customHeight="1" x14ac:dyDescent="0.3">
      <c r="A86" s="366" t="s">
        <v>631</v>
      </c>
      <c r="B86" s="366"/>
      <c r="C86" s="366"/>
      <c r="D86" s="366"/>
      <c r="E86" s="366"/>
      <c r="F86" s="367"/>
      <c r="G86" s="940"/>
      <c r="H86" s="940"/>
    </row>
    <row r="87" spans="1:256" s="310" customFormat="1" ht="12.75" customHeight="1" x14ac:dyDescent="0.3">
      <c r="A87" s="366" t="s">
        <v>632</v>
      </c>
      <c r="B87" s="366"/>
      <c r="C87" s="366"/>
      <c r="D87" s="366"/>
      <c r="E87" s="366"/>
      <c r="F87" s="367"/>
      <c r="G87" s="940"/>
      <c r="H87" s="940"/>
    </row>
    <row r="88" spans="1:256" s="310" customFormat="1" ht="12.75" customHeight="1" x14ac:dyDescent="0.3">
      <c r="A88" s="941" t="s">
        <v>633</v>
      </c>
      <c r="B88" s="941"/>
      <c r="C88" s="941"/>
      <c r="D88" s="941"/>
      <c r="E88" s="366"/>
      <c r="F88" s="367"/>
      <c r="G88" s="942">
        <f>SUM(G89:G90)</f>
        <v>0</v>
      </c>
      <c r="H88" s="942"/>
    </row>
    <row r="89" spans="1:256" s="310" customFormat="1" ht="12.75" customHeight="1" x14ac:dyDescent="0.3">
      <c r="A89" s="366" t="s">
        <v>634</v>
      </c>
      <c r="B89" s="366"/>
      <c r="C89" s="366"/>
      <c r="D89" s="366"/>
      <c r="E89" s="366"/>
      <c r="F89" s="367"/>
      <c r="G89" s="940"/>
      <c r="H89" s="940"/>
    </row>
    <row r="90" spans="1:256" s="310" customFormat="1" ht="12.75" customHeight="1" x14ac:dyDescent="0.3">
      <c r="A90" s="368" t="s">
        <v>635</v>
      </c>
      <c r="B90" s="368"/>
      <c r="C90" s="368"/>
      <c r="D90" s="368"/>
      <c r="E90" s="368"/>
      <c r="F90" s="369"/>
      <c r="G90" s="940"/>
      <c r="H90" s="940"/>
    </row>
    <row r="91" spans="1:256" s="310" customFormat="1" ht="12.75" customHeight="1" x14ac:dyDescent="0.3">
      <c r="A91" s="370" t="s">
        <v>636</v>
      </c>
      <c r="B91" s="370"/>
      <c r="C91" s="370"/>
      <c r="D91" s="370"/>
      <c r="E91" s="370"/>
      <c r="F91" s="371"/>
      <c r="G91" s="943">
        <f>G85+G88</f>
        <v>0</v>
      </c>
      <c r="H91" s="943"/>
    </row>
    <row r="92" spans="1:256" s="310" customFormat="1" ht="15.75" customHeight="1" x14ac:dyDescent="0.3">
      <c r="A92" s="916" t="s">
        <v>637</v>
      </c>
      <c r="B92" s="916"/>
      <c r="C92" s="916"/>
      <c r="D92" s="916"/>
      <c r="E92" s="916"/>
      <c r="F92" s="916"/>
      <c r="G92" s="930" t="s">
        <v>411</v>
      </c>
      <c r="H92" s="930"/>
    </row>
    <row r="93" spans="1:256" s="310" customFormat="1" ht="12.75" customHeight="1" x14ac:dyDescent="0.3">
      <c r="A93" s="372" t="s">
        <v>638</v>
      </c>
      <c r="B93" s="372"/>
      <c r="C93" s="372"/>
      <c r="D93" s="372"/>
      <c r="E93" s="372"/>
      <c r="F93" s="373"/>
      <c r="G93" s="919">
        <f>F83-G91</f>
        <v>4082317.32</v>
      </c>
      <c r="H93" s="919"/>
    </row>
    <row r="94" spans="1:256" s="310" customFormat="1" ht="14.25" customHeight="1" x14ac:dyDescent="0.3">
      <c r="A94" s="374" t="s">
        <v>639</v>
      </c>
      <c r="B94" s="374"/>
      <c r="C94" s="374"/>
      <c r="D94" s="374"/>
      <c r="E94" s="374"/>
      <c r="F94" s="375"/>
      <c r="G94" s="937">
        <f>IF(F$67="",0,IF(F$67=0,0,(F77-(G86+G89))/F$67))</f>
        <v>1.0523942988833426</v>
      </c>
      <c r="H94" s="937"/>
    </row>
    <row r="95" spans="1:256" s="310" customFormat="1" ht="12.75" customHeight="1" x14ac:dyDescent="0.3">
      <c r="A95" s="374" t="s">
        <v>640</v>
      </c>
      <c r="B95" s="374"/>
      <c r="C95" s="374"/>
      <c r="D95" s="374"/>
      <c r="E95" s="374"/>
      <c r="F95" s="375"/>
      <c r="G95" s="937">
        <f>IF(F$67="",0,IF(F$67=0,0,(F80-(G87+G90))/F$67))</f>
        <v>0</v>
      </c>
      <c r="H95" s="937"/>
    </row>
    <row r="96" spans="1:256" s="310" customFormat="1" ht="13.5" customHeight="1" x14ac:dyDescent="0.3">
      <c r="A96" s="938" t="s">
        <v>641</v>
      </c>
      <c r="B96" s="938"/>
      <c r="C96" s="938"/>
      <c r="D96" s="938"/>
      <c r="E96" s="938"/>
      <c r="F96" s="938"/>
      <c r="G96" s="939">
        <f>IF(G94+G95=0,0,1-G94-G95)</f>
        <v>-5.2394298883342572E-2</v>
      </c>
      <c r="H96" s="939"/>
    </row>
    <row r="97" spans="1:12" s="376" customFormat="1" ht="16.5" customHeight="1" x14ac:dyDescent="0.25">
      <c r="A97" s="916" t="s">
        <v>642</v>
      </c>
      <c r="B97" s="916"/>
      <c r="C97" s="916"/>
      <c r="D97" s="916"/>
      <c r="E97" s="916"/>
      <c r="F97" s="916"/>
      <c r="G97" s="930" t="s">
        <v>411</v>
      </c>
      <c r="H97" s="930"/>
    </row>
    <row r="98" spans="1:12" s="310" customFormat="1" ht="18.75" customHeight="1" x14ac:dyDescent="0.3">
      <c r="A98" s="934" t="s">
        <v>643</v>
      </c>
      <c r="B98" s="934"/>
      <c r="C98" s="934"/>
      <c r="D98" s="934"/>
      <c r="E98" s="934"/>
      <c r="F98" s="934"/>
      <c r="G98" s="935"/>
      <c r="H98" s="935"/>
    </row>
    <row r="99" spans="1:12" s="310" customFormat="1" ht="18.75" customHeight="1" x14ac:dyDescent="0.3">
      <c r="A99" s="936" t="s">
        <v>644</v>
      </c>
      <c r="B99" s="936"/>
      <c r="C99" s="936"/>
      <c r="D99" s="936"/>
      <c r="E99" s="936"/>
      <c r="F99" s="936"/>
      <c r="G99" s="915"/>
      <c r="H99" s="915"/>
    </row>
    <row r="100" spans="1:12" s="310" customFormat="1" ht="12.75" customHeight="1" x14ac:dyDescent="0.3">
      <c r="A100" s="933" t="s">
        <v>645</v>
      </c>
      <c r="B100" s="933"/>
      <c r="C100" s="933"/>
      <c r="D100" s="933"/>
      <c r="E100" s="933"/>
      <c r="F100" s="933"/>
      <c r="G100" s="933"/>
      <c r="H100" s="933"/>
    </row>
    <row r="101" spans="1:12" s="310" customFormat="1" ht="44.9" customHeight="1" x14ac:dyDescent="0.3">
      <c r="A101" s="916" t="str">
        <f>IF(IV118=0,"ERRO!!!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1" s="921" t="s">
        <v>119</v>
      </c>
      <c r="C101" s="921" t="s">
        <v>120</v>
      </c>
      <c r="D101" s="908" t="str">
        <f>IF(IV118=0,"ERRO!!!","DESPESAS EMPENHADAS")</f>
        <v>DESPESAS EMPENHADAS</v>
      </c>
      <c r="E101" s="908"/>
      <c r="F101" s="907" t="str">
        <f>IF(IV118=0,"ERRO!!!","DESPESAS LIQUIDADAS")</f>
        <v>DESPESAS LIQUIDADAS</v>
      </c>
      <c r="G101" s="907"/>
      <c r="H101" s="922" t="s">
        <v>617</v>
      </c>
      <c r="I101" s="342"/>
      <c r="J101" s="343"/>
      <c r="K101" s="344"/>
      <c r="L101" s="327"/>
    </row>
    <row r="102" spans="1:12" s="310" customFormat="1" ht="12.75" customHeight="1" x14ac:dyDescent="0.3">
      <c r="A102" s="916"/>
      <c r="B102" s="921"/>
      <c r="C102" s="921"/>
      <c r="D102" s="317" t="s">
        <v>40</v>
      </c>
      <c r="E102" s="318" t="s">
        <v>39</v>
      </c>
      <c r="F102" s="317" t="s">
        <v>40</v>
      </c>
      <c r="G102" s="318" t="s">
        <v>39</v>
      </c>
      <c r="H102" s="922"/>
      <c r="I102" s="344"/>
      <c r="J102" s="344"/>
      <c r="K102" s="327"/>
      <c r="L102" s="327"/>
    </row>
    <row r="103" spans="1:12" s="310" customFormat="1" ht="12.75" customHeight="1" x14ac:dyDescent="0.3">
      <c r="A103" s="916"/>
      <c r="B103" s="921"/>
      <c r="C103" s="320" t="s">
        <v>126</v>
      </c>
      <c r="D103" s="320" t="s">
        <v>127</v>
      </c>
      <c r="E103" s="331" t="s">
        <v>618</v>
      </c>
      <c r="F103" s="320" t="s">
        <v>619</v>
      </c>
      <c r="G103" s="321" t="s">
        <v>620</v>
      </c>
      <c r="H103" s="345" t="s">
        <v>621</v>
      </c>
      <c r="I103" s="344"/>
      <c r="J103" s="344"/>
      <c r="K103" s="344"/>
      <c r="L103" s="327"/>
    </row>
    <row r="104" spans="1:12" s="310" customFormat="1" ht="12.75" customHeight="1" x14ac:dyDescent="0.3">
      <c r="A104" s="338" t="s">
        <v>646</v>
      </c>
      <c r="B104" s="377">
        <f>B105+B108</f>
        <v>0</v>
      </c>
      <c r="C104" s="377">
        <f>C105+C108</f>
        <v>0</v>
      </c>
      <c r="D104" s="378">
        <f>D105+D108</f>
        <v>0</v>
      </c>
      <c r="E104" s="379">
        <f t="shared" ref="E104:E118" si="6">IF($C104="",0,IF($C104=0,0,D104/$C104))</f>
        <v>0</v>
      </c>
      <c r="F104" s="380">
        <f>F105+F108</f>
        <v>0</v>
      </c>
      <c r="G104" s="379">
        <f t="shared" ref="G104:G118" si="7">IF($C104="",0,IF($C104=0,0,F104/$C104))</f>
        <v>0</v>
      </c>
      <c r="H104" s="378">
        <f>H105+H108</f>
        <v>0</v>
      </c>
      <c r="I104" s="327"/>
      <c r="J104" s="327"/>
      <c r="K104" s="327"/>
      <c r="L104" s="327"/>
    </row>
    <row r="105" spans="1:12" s="310" customFormat="1" ht="12.75" customHeight="1" x14ac:dyDescent="0.3">
      <c r="A105" s="322" t="s">
        <v>647</v>
      </c>
      <c r="B105" s="354">
        <f>SUM(B106:B107)</f>
        <v>0</v>
      </c>
      <c r="C105" s="354">
        <f>SUM(C106:C107)</f>
        <v>0</v>
      </c>
      <c r="D105" s="355">
        <f>SUM(D106:D107)</f>
        <v>0</v>
      </c>
      <c r="E105" s="45">
        <f t="shared" si="6"/>
        <v>0</v>
      </c>
      <c r="F105" s="381">
        <f>SUM(F106:F107)</f>
        <v>0</v>
      </c>
      <c r="G105" s="45">
        <f t="shared" si="7"/>
        <v>0</v>
      </c>
      <c r="H105" s="355">
        <f>SUM(H106:H107)</f>
        <v>0</v>
      </c>
      <c r="I105" s="327"/>
      <c r="J105" s="327"/>
      <c r="K105" s="327"/>
      <c r="L105" s="327"/>
    </row>
    <row r="106" spans="1:12" s="310" customFormat="1" ht="12.75" customHeight="1" x14ac:dyDescent="0.3">
      <c r="A106" s="322" t="s">
        <v>648</v>
      </c>
      <c r="B106" s="382"/>
      <c r="C106" s="382"/>
      <c r="D106" s="353"/>
      <c r="E106" s="45">
        <f t="shared" si="6"/>
        <v>0</v>
      </c>
      <c r="F106" s="383"/>
      <c r="G106" s="45">
        <f t="shared" si="7"/>
        <v>0</v>
      </c>
      <c r="H106" s="353"/>
    </row>
    <row r="107" spans="1:12" s="310" customFormat="1" ht="12.75" customHeight="1" x14ac:dyDescent="0.3">
      <c r="A107" s="322" t="s">
        <v>649</v>
      </c>
      <c r="B107" s="382"/>
      <c r="C107" s="382"/>
      <c r="D107" s="353"/>
      <c r="E107" s="45">
        <f t="shared" si="6"/>
        <v>0</v>
      </c>
      <c r="F107" s="383"/>
      <c r="G107" s="45">
        <f t="shared" si="7"/>
        <v>0</v>
      </c>
      <c r="H107" s="353"/>
    </row>
    <row r="108" spans="1:12" s="310" customFormat="1" ht="12.75" customHeight="1" x14ac:dyDescent="0.3">
      <c r="A108" s="322" t="s">
        <v>650</v>
      </c>
      <c r="B108" s="354">
        <f>SUM(B109:B110)</f>
        <v>0</v>
      </c>
      <c r="C108" s="354">
        <f>SUM(C109:C110)</f>
        <v>0</v>
      </c>
      <c r="D108" s="355">
        <f>SUM(D109:D110)</f>
        <v>0</v>
      </c>
      <c r="E108" s="45">
        <f t="shared" si="6"/>
        <v>0</v>
      </c>
      <c r="F108" s="381">
        <f>SUM(F109:F110)</f>
        <v>0</v>
      </c>
      <c r="G108" s="45">
        <f t="shared" si="7"/>
        <v>0</v>
      </c>
      <c r="H108" s="355">
        <f>SUM(H109:H110)</f>
        <v>0</v>
      </c>
    </row>
    <row r="109" spans="1:12" s="310" customFormat="1" ht="12.75" customHeight="1" x14ac:dyDescent="0.3">
      <c r="A109" s="322" t="s">
        <v>651</v>
      </c>
      <c r="B109" s="382"/>
      <c r="C109" s="382"/>
      <c r="D109" s="353"/>
      <c r="E109" s="45">
        <f t="shared" si="6"/>
        <v>0</v>
      </c>
      <c r="F109" s="383"/>
      <c r="G109" s="45">
        <f t="shared" si="7"/>
        <v>0</v>
      </c>
      <c r="H109" s="353"/>
    </row>
    <row r="110" spans="1:12" s="310" customFormat="1" ht="12.75" customHeight="1" x14ac:dyDescent="0.3">
      <c r="A110" s="322" t="s">
        <v>652</v>
      </c>
      <c r="B110" s="382"/>
      <c r="C110" s="382"/>
      <c r="D110" s="353"/>
      <c r="E110" s="45">
        <f t="shared" si="6"/>
        <v>0</v>
      </c>
      <c r="F110" s="383"/>
      <c r="G110" s="45">
        <f t="shared" si="7"/>
        <v>0</v>
      </c>
      <c r="H110" s="353"/>
    </row>
    <row r="111" spans="1:12" s="310" customFormat="1" ht="12.75" customHeight="1" x14ac:dyDescent="0.3">
      <c r="A111" s="322" t="s">
        <v>653</v>
      </c>
      <c r="B111" s="354">
        <f>SUM(B112:B113)</f>
        <v>1661906</v>
      </c>
      <c r="C111" s="354">
        <f>SUM(C112:C113)</f>
        <v>1787406.31</v>
      </c>
      <c r="D111" s="355">
        <f>SUM(D112:D113)</f>
        <v>2253687.9300000002</v>
      </c>
      <c r="E111" s="45">
        <f t="shared" si="6"/>
        <v>1.2608705236136266</v>
      </c>
      <c r="F111" s="381">
        <f>SUM(F112:F113)</f>
        <v>2253687.9300000002</v>
      </c>
      <c r="G111" s="45">
        <f t="shared" si="7"/>
        <v>1.2608705236136266</v>
      </c>
      <c r="H111" s="355">
        <f>SUM(H112:H113)</f>
        <v>0</v>
      </c>
    </row>
    <row r="112" spans="1:12" s="310" customFormat="1" ht="12.75" customHeight="1" x14ac:dyDescent="0.3">
      <c r="A112" s="322" t="s">
        <v>654</v>
      </c>
      <c r="B112" s="382"/>
      <c r="C112" s="382"/>
      <c r="D112" s="353"/>
      <c r="E112" s="45">
        <f t="shared" si="6"/>
        <v>0</v>
      </c>
      <c r="F112" s="383"/>
      <c r="G112" s="45">
        <f t="shared" si="7"/>
        <v>0</v>
      </c>
      <c r="H112" s="353"/>
    </row>
    <row r="113" spans="1:256" s="310" customFormat="1" ht="12.75" customHeight="1" x14ac:dyDescent="0.3">
      <c r="A113" s="322" t="s">
        <v>655</v>
      </c>
      <c r="B113" s="382">
        <v>1661906</v>
      </c>
      <c r="C113" s="382">
        <v>1787406.31</v>
      </c>
      <c r="D113" s="353">
        <v>2253687.9300000002</v>
      </c>
      <c r="E113" s="45">
        <f t="shared" si="6"/>
        <v>1.2608705236136266</v>
      </c>
      <c r="F113" s="383">
        <v>2253687.9300000002</v>
      </c>
      <c r="G113" s="45">
        <f t="shared" si="7"/>
        <v>1.2608705236136266</v>
      </c>
      <c r="H113" s="353"/>
    </row>
    <row r="114" spans="1:256" s="310" customFormat="1" ht="12.75" customHeight="1" x14ac:dyDescent="0.3">
      <c r="A114" s="322" t="s">
        <v>656</v>
      </c>
      <c r="B114" s="382"/>
      <c r="C114" s="382"/>
      <c r="D114" s="353"/>
      <c r="E114" s="45">
        <f t="shared" si="6"/>
        <v>0</v>
      </c>
      <c r="F114" s="383"/>
      <c r="G114" s="45">
        <f t="shared" si="7"/>
        <v>0</v>
      </c>
      <c r="H114" s="353"/>
    </row>
    <row r="115" spans="1:256" s="310" customFormat="1" ht="12.75" customHeight="1" x14ac:dyDescent="0.3">
      <c r="A115" s="322" t="s">
        <v>657</v>
      </c>
      <c r="B115" s="382"/>
      <c r="C115" s="382"/>
      <c r="D115" s="353"/>
      <c r="E115" s="45">
        <f t="shared" si="6"/>
        <v>0</v>
      </c>
      <c r="F115" s="383"/>
      <c r="G115" s="45">
        <f t="shared" si="7"/>
        <v>0</v>
      </c>
      <c r="H115" s="353"/>
    </row>
    <row r="116" spans="1:256" s="310" customFormat="1" ht="12.75" customHeight="1" x14ac:dyDescent="0.3">
      <c r="A116" s="322" t="s">
        <v>658</v>
      </c>
      <c r="B116" s="382"/>
      <c r="C116" s="382"/>
      <c r="D116" s="353"/>
      <c r="E116" s="45">
        <f t="shared" si="6"/>
        <v>0</v>
      </c>
      <c r="F116" s="383"/>
      <c r="G116" s="45">
        <f t="shared" si="7"/>
        <v>0</v>
      </c>
      <c r="H116" s="353"/>
    </row>
    <row r="117" spans="1:256" s="310" customFormat="1" ht="12.75" customHeight="1" x14ac:dyDescent="0.3">
      <c r="A117" s="360" t="s">
        <v>659</v>
      </c>
      <c r="B117" s="382"/>
      <c r="C117" s="382"/>
      <c r="D117" s="353"/>
      <c r="E117" s="119">
        <f t="shared" si="6"/>
        <v>0</v>
      </c>
      <c r="F117" s="383"/>
      <c r="G117" s="119">
        <f t="shared" si="7"/>
        <v>0</v>
      </c>
      <c r="H117" s="353"/>
    </row>
    <row r="118" spans="1:256" s="310" customFormat="1" ht="12.75" customHeight="1" x14ac:dyDescent="0.3">
      <c r="A118" s="360" t="s">
        <v>660</v>
      </c>
      <c r="B118" s="384">
        <f>SUM(B104,B111,B114:B117)</f>
        <v>1661906</v>
      </c>
      <c r="C118" s="384">
        <f>SUM(C104,C111,C114:C117)</f>
        <v>1787406.31</v>
      </c>
      <c r="D118" s="384">
        <f>SUM(D104,D111,D114:D117)</f>
        <v>2253687.9300000002</v>
      </c>
      <c r="E118" s="385">
        <f t="shared" si="6"/>
        <v>1.2608705236136266</v>
      </c>
      <c r="F118" s="384">
        <f>SUM(F104,F111,F114:F117)</f>
        <v>2253687.9300000002</v>
      </c>
      <c r="G118" s="385">
        <f t="shared" si="7"/>
        <v>1.2608705236136266</v>
      </c>
      <c r="H118" s="386">
        <f>SUM(H104,H111,H114:H117)</f>
        <v>0</v>
      </c>
      <c r="IV118" s="311">
        <f>IF($A$7=$IV$12,IF(D118&lt;&gt;(F118+H118),0,1),1)</f>
        <v>1</v>
      </c>
    </row>
    <row r="119" spans="1:256" s="310" customFormat="1" ht="12.75" customHeight="1" x14ac:dyDescent="0.3">
      <c r="A119" s="916" t="s">
        <v>661</v>
      </c>
      <c r="B119" s="916"/>
      <c r="C119" s="916"/>
      <c r="D119" s="916"/>
      <c r="E119" s="916"/>
      <c r="F119" s="916"/>
      <c r="G119" s="930" t="s">
        <v>411</v>
      </c>
      <c r="H119" s="930"/>
    </row>
    <row r="120" spans="1:256" s="310" customFormat="1" ht="12.75" customHeight="1" x14ac:dyDescent="0.3">
      <c r="A120" s="916"/>
      <c r="B120" s="916"/>
      <c r="C120" s="916"/>
      <c r="D120" s="916"/>
      <c r="E120" s="916"/>
      <c r="F120" s="916"/>
      <c r="G120" s="930"/>
      <c r="H120" s="930"/>
    </row>
    <row r="121" spans="1:256" s="310" customFormat="1" ht="12.75" customHeight="1" x14ac:dyDescent="0.3">
      <c r="A121" s="916"/>
      <c r="B121" s="916"/>
      <c r="C121" s="916"/>
      <c r="D121" s="916"/>
      <c r="E121" s="916"/>
      <c r="F121" s="916"/>
      <c r="G121" s="930"/>
      <c r="H121" s="930"/>
    </row>
    <row r="122" spans="1:256" s="363" customFormat="1" ht="12.75" customHeight="1" x14ac:dyDescent="0.25">
      <c r="A122" s="387" t="s">
        <v>662</v>
      </c>
      <c r="B122" s="387"/>
      <c r="C122" s="387"/>
      <c r="D122" s="387"/>
      <c r="E122" s="387"/>
      <c r="F122" s="388"/>
      <c r="G122" s="931">
        <f>F71</f>
        <v>1169221.19</v>
      </c>
      <c r="H122" s="931"/>
    </row>
    <row r="123" spans="1:256" s="363" customFormat="1" ht="12.75" customHeight="1" x14ac:dyDescent="0.25">
      <c r="A123" s="389" t="s">
        <v>663</v>
      </c>
      <c r="B123" s="389"/>
      <c r="C123" s="389"/>
      <c r="D123" s="389"/>
      <c r="E123" s="389"/>
      <c r="F123" s="388"/>
      <c r="G123" s="924"/>
      <c r="H123" s="924"/>
    </row>
    <row r="124" spans="1:256" s="363" customFormat="1" ht="12.75" customHeight="1" x14ac:dyDescent="0.25">
      <c r="A124" s="929" t="s">
        <v>664</v>
      </c>
      <c r="B124" s="929"/>
      <c r="C124" s="929"/>
      <c r="D124" s="389"/>
      <c r="E124" s="389"/>
      <c r="F124" s="390"/>
      <c r="G124" s="932">
        <f>F70</f>
        <v>0</v>
      </c>
      <c r="H124" s="932"/>
    </row>
    <row r="125" spans="1:256" s="363" customFormat="1" ht="12.75" customHeight="1" x14ac:dyDescent="0.25">
      <c r="A125" s="929" t="s">
        <v>665</v>
      </c>
      <c r="B125" s="929"/>
      <c r="C125" s="929"/>
      <c r="D125" s="389"/>
      <c r="E125" s="389"/>
      <c r="F125" s="390"/>
      <c r="G125" s="924"/>
      <c r="H125" s="924"/>
    </row>
    <row r="126" spans="1:256" s="363" customFormat="1" ht="12.75" customHeight="1" x14ac:dyDescent="0.25">
      <c r="A126" s="929" t="s">
        <v>666</v>
      </c>
      <c r="B126" s="929"/>
      <c r="C126" s="929"/>
      <c r="D126" s="389"/>
      <c r="E126" s="389"/>
      <c r="F126" s="390"/>
      <c r="G126" s="924"/>
      <c r="H126" s="924"/>
    </row>
    <row r="127" spans="1:256" s="363" customFormat="1" ht="17.25" customHeight="1" x14ac:dyDescent="0.25">
      <c r="A127" s="929" t="s">
        <v>667</v>
      </c>
      <c r="B127" s="929"/>
      <c r="C127" s="929"/>
      <c r="D127" s="929"/>
      <c r="E127" s="389"/>
      <c r="F127" s="390"/>
      <c r="G127" s="924"/>
      <c r="H127" s="924"/>
    </row>
    <row r="128" spans="1:256" s="363" customFormat="1" ht="12.75" customHeight="1" x14ac:dyDescent="0.25">
      <c r="A128" s="923" t="s">
        <v>668</v>
      </c>
      <c r="B128" s="923"/>
      <c r="C128" s="923"/>
      <c r="D128" s="923"/>
      <c r="E128" s="923"/>
      <c r="F128" s="923"/>
      <c r="G128" s="924"/>
      <c r="H128" s="924"/>
    </row>
    <row r="129" spans="1:12" s="310" customFormat="1" ht="15.75" customHeight="1" x14ac:dyDescent="0.3">
      <c r="A129" s="925" t="s">
        <v>669</v>
      </c>
      <c r="B129" s="925"/>
      <c r="C129" s="925"/>
      <c r="D129" s="925"/>
      <c r="E129" s="925"/>
      <c r="F129" s="925"/>
      <c r="G129" s="926">
        <f>SUM(G122:H128)</f>
        <v>1169221.19</v>
      </c>
      <c r="H129" s="926"/>
      <c r="I129" s="327"/>
      <c r="J129" s="327"/>
      <c r="K129" s="327"/>
      <c r="L129" s="327"/>
    </row>
    <row r="130" spans="1:12" s="310" customFormat="1" ht="12.75" customHeight="1" x14ac:dyDescent="0.3">
      <c r="A130" s="370" t="s">
        <v>670</v>
      </c>
      <c r="B130" s="370"/>
      <c r="C130" s="370"/>
      <c r="D130" s="370"/>
      <c r="E130" s="370"/>
      <c r="F130" s="371"/>
      <c r="G130" s="926">
        <f>F104+F111-G129</f>
        <v>1084466.7400000002</v>
      </c>
      <c r="H130" s="926"/>
      <c r="I130" s="327"/>
      <c r="J130" s="327"/>
      <c r="K130" s="327"/>
      <c r="L130" s="327"/>
    </row>
    <row r="131" spans="1:12" s="393" customFormat="1" ht="16.899999999999999" customHeight="1" x14ac:dyDescent="0.25">
      <c r="A131" s="927" t="s">
        <v>671</v>
      </c>
      <c r="B131" s="927"/>
      <c r="C131" s="927"/>
      <c r="D131" s="927"/>
      <c r="E131" s="927"/>
      <c r="F131" s="927"/>
      <c r="G131" s="928">
        <f>IF(IV14=1,"Erro planilha INFORMAÇÕES INICIAIS!",IF(IV118=0,"VERIFIQUE ERRO ACIMA!",IF(F38="",0,IF(F38=0,0,(G130/F38)))))</f>
        <v>0.2649703402479886</v>
      </c>
      <c r="H131" s="928"/>
      <c r="I131" s="391"/>
      <c r="J131" s="391"/>
      <c r="K131" s="391"/>
      <c r="L131" s="392"/>
    </row>
    <row r="132" spans="1:12" s="310" customFormat="1" ht="12.75" customHeight="1" x14ac:dyDescent="0.3">
      <c r="A132" s="920" t="s">
        <v>672</v>
      </c>
      <c r="B132" s="920"/>
      <c r="C132" s="920"/>
      <c r="D132" s="920"/>
      <c r="E132" s="920"/>
      <c r="F132" s="920"/>
      <c r="G132" s="920"/>
      <c r="H132" s="920"/>
      <c r="I132" s="341"/>
      <c r="J132" s="341"/>
      <c r="K132" s="341"/>
      <c r="L132" s="327"/>
    </row>
    <row r="133" spans="1:12" s="310" customFormat="1" ht="44.9" customHeight="1" x14ac:dyDescent="0.3">
      <c r="A133" s="916" t="s">
        <v>673</v>
      </c>
      <c r="B133" s="921" t="s">
        <v>119</v>
      </c>
      <c r="C133" s="921" t="s">
        <v>120</v>
      </c>
      <c r="D133" s="908" t="s">
        <v>121</v>
      </c>
      <c r="E133" s="908"/>
      <c r="F133" s="907" t="s">
        <v>122</v>
      </c>
      <c r="G133" s="907"/>
      <c r="H133" s="922" t="s">
        <v>617</v>
      </c>
      <c r="I133" s="342"/>
      <c r="J133" s="343"/>
      <c r="K133" s="344"/>
      <c r="L133" s="327"/>
    </row>
    <row r="134" spans="1:12" s="310" customFormat="1" ht="12.75" customHeight="1" x14ac:dyDescent="0.3">
      <c r="A134" s="916"/>
      <c r="B134" s="921"/>
      <c r="C134" s="921"/>
      <c r="D134" s="317" t="s">
        <v>40</v>
      </c>
      <c r="E134" s="318" t="s">
        <v>39</v>
      </c>
      <c r="F134" s="317" t="s">
        <v>40</v>
      </c>
      <c r="G134" s="318" t="s">
        <v>39</v>
      </c>
      <c r="H134" s="922"/>
      <c r="I134" s="344"/>
      <c r="J134" s="344"/>
      <c r="K134" s="327"/>
      <c r="L134" s="327"/>
    </row>
    <row r="135" spans="1:12" s="310" customFormat="1" ht="12.75" customHeight="1" x14ac:dyDescent="0.3">
      <c r="A135" s="916"/>
      <c r="B135" s="921"/>
      <c r="C135" s="320" t="s">
        <v>126</v>
      </c>
      <c r="D135" s="320" t="s">
        <v>127</v>
      </c>
      <c r="E135" s="321" t="s">
        <v>618</v>
      </c>
      <c r="F135" s="320" t="s">
        <v>619</v>
      </c>
      <c r="G135" s="321" t="s">
        <v>620</v>
      </c>
      <c r="H135" s="345" t="s">
        <v>621</v>
      </c>
      <c r="I135" s="344"/>
      <c r="J135" s="344"/>
      <c r="K135" s="344"/>
      <c r="L135" s="327"/>
    </row>
    <row r="136" spans="1:12" s="310" customFormat="1" ht="25.5" customHeight="1" x14ac:dyDescent="0.3">
      <c r="A136" s="333" t="s">
        <v>674</v>
      </c>
      <c r="B136" s="394"/>
      <c r="C136" s="48"/>
      <c r="D136" s="394"/>
      <c r="E136" s="49">
        <f t="shared" ref="E136:E141" si="8">IF($C136="",0,IF($C136=0,0,D136/$C136))</f>
        <v>0</v>
      </c>
      <c r="F136" s="395"/>
      <c r="G136" s="49">
        <f t="shared" ref="G136:G141" si="9">IF($C136="",0,IF($C136=0,0,F136/$C136))</f>
        <v>0</v>
      </c>
      <c r="H136" s="396"/>
      <c r="I136" s="327"/>
      <c r="J136" s="327"/>
      <c r="K136" s="327"/>
      <c r="L136" s="327"/>
    </row>
    <row r="137" spans="1:12" s="310" customFormat="1" ht="14.25" customHeight="1" x14ac:dyDescent="0.3">
      <c r="A137" s="333" t="s">
        <v>675</v>
      </c>
      <c r="B137" s="150"/>
      <c r="C137" s="85"/>
      <c r="D137" s="85"/>
      <c r="E137" s="45">
        <f t="shared" si="8"/>
        <v>0</v>
      </c>
      <c r="F137" s="382"/>
      <c r="G137" s="45">
        <f t="shared" si="9"/>
        <v>0</v>
      </c>
      <c r="H137" s="86"/>
    </row>
    <row r="138" spans="1:12" s="310" customFormat="1" ht="12.75" customHeight="1" x14ac:dyDescent="0.3">
      <c r="A138" s="397" t="s">
        <v>676</v>
      </c>
      <c r="B138" s="86"/>
      <c r="C138" s="86"/>
      <c r="D138" s="86"/>
      <c r="E138" s="45">
        <f t="shared" si="8"/>
        <v>0</v>
      </c>
      <c r="F138" s="382"/>
      <c r="G138" s="45">
        <f t="shared" si="9"/>
        <v>0</v>
      </c>
      <c r="H138" s="86"/>
    </row>
    <row r="139" spans="1:12" s="310" customFormat="1" ht="12.75" customHeight="1" x14ac:dyDescent="0.3">
      <c r="A139" s="398" t="s">
        <v>677</v>
      </c>
      <c r="B139" s="150"/>
      <c r="C139" s="85"/>
      <c r="D139" s="85"/>
      <c r="E139" s="45">
        <f t="shared" si="8"/>
        <v>0</v>
      </c>
      <c r="F139" s="382"/>
      <c r="G139" s="45">
        <f t="shared" si="9"/>
        <v>0</v>
      </c>
      <c r="H139" s="239"/>
    </row>
    <row r="140" spans="1:12" s="310" customFormat="1" ht="25.9" customHeight="1" x14ac:dyDescent="0.3">
      <c r="A140" s="398" t="s">
        <v>678</v>
      </c>
      <c r="B140" s="399">
        <f>SUM(B136:B139)</f>
        <v>0</v>
      </c>
      <c r="C140" s="399">
        <f>SUM(C136:C139)</f>
        <v>0</v>
      </c>
      <c r="D140" s="399">
        <f>SUM(D136:D139)</f>
        <v>0</v>
      </c>
      <c r="E140" s="400">
        <f t="shared" si="8"/>
        <v>0</v>
      </c>
      <c r="F140" s="399">
        <f>SUM(F136:F139)</f>
        <v>0</v>
      </c>
      <c r="G140" s="400">
        <f t="shared" si="9"/>
        <v>0</v>
      </c>
      <c r="H140" s="401">
        <f>SUM(H136:H139)</f>
        <v>0</v>
      </c>
    </row>
    <row r="141" spans="1:12" s="310" customFormat="1" ht="12.75" customHeight="1" x14ac:dyDescent="0.3">
      <c r="A141" s="398" t="s">
        <v>679</v>
      </c>
      <c r="B141" s="402">
        <f>B118+B140</f>
        <v>1661906</v>
      </c>
      <c r="C141" s="402">
        <f>C118+C140</f>
        <v>1787406.31</v>
      </c>
      <c r="D141" s="402">
        <f>D118+D140</f>
        <v>2253687.9300000002</v>
      </c>
      <c r="E141" s="45">
        <f t="shared" si="8"/>
        <v>1.2608705236136266</v>
      </c>
      <c r="F141" s="402">
        <f>F118+F140</f>
        <v>2253687.9300000002</v>
      </c>
      <c r="G141" s="45">
        <f t="shared" si="9"/>
        <v>1.2608705236136266</v>
      </c>
      <c r="H141" s="403">
        <f>H118+H140</f>
        <v>0</v>
      </c>
    </row>
    <row r="142" spans="1:12" s="310" customFormat="1" ht="12.75" customHeight="1" x14ac:dyDescent="0.3">
      <c r="A142" s="916" t="s">
        <v>680</v>
      </c>
      <c r="B142" s="916"/>
      <c r="C142" s="907" t="s">
        <v>681</v>
      </c>
      <c r="D142" s="907"/>
      <c r="E142" s="907"/>
      <c r="F142" s="917" t="s">
        <v>682</v>
      </c>
      <c r="G142" s="917"/>
      <c r="H142" s="917"/>
    </row>
    <row r="143" spans="1:12" s="310" customFormat="1" ht="12.75" customHeight="1" x14ac:dyDescent="0.3">
      <c r="A143" s="916"/>
      <c r="B143" s="916"/>
      <c r="C143" s="907"/>
      <c r="D143" s="907"/>
      <c r="E143" s="907"/>
      <c r="F143" s="917"/>
      <c r="G143" s="917"/>
      <c r="H143" s="917"/>
    </row>
    <row r="144" spans="1:12" s="310" customFormat="1" ht="12.75" customHeight="1" x14ac:dyDescent="0.3">
      <c r="A144" s="916"/>
      <c r="B144" s="916"/>
      <c r="C144" s="907"/>
      <c r="D144" s="907"/>
      <c r="E144" s="907"/>
      <c r="F144" s="917"/>
      <c r="G144" s="917"/>
      <c r="H144" s="917"/>
    </row>
    <row r="145" spans="1:9" s="310" customFormat="1" ht="12.75" customHeight="1" x14ac:dyDescent="0.3">
      <c r="A145" s="918" t="s">
        <v>683</v>
      </c>
      <c r="B145" s="918"/>
      <c r="C145" s="823">
        <f>SUM(C146:E147)</f>
        <v>0</v>
      </c>
      <c r="D145" s="823"/>
      <c r="E145" s="823"/>
      <c r="F145" s="919">
        <f>SUM(F146:H147)</f>
        <v>0</v>
      </c>
      <c r="G145" s="919"/>
      <c r="H145" s="919"/>
    </row>
    <row r="146" spans="1:9" s="310" customFormat="1" ht="12.75" customHeight="1" x14ac:dyDescent="0.3">
      <c r="A146" s="912" t="s">
        <v>684</v>
      </c>
      <c r="B146" s="912"/>
      <c r="C146" s="770"/>
      <c r="D146" s="770"/>
      <c r="E146" s="770"/>
      <c r="F146" s="913"/>
      <c r="G146" s="913"/>
      <c r="H146" s="913"/>
    </row>
    <row r="147" spans="1:9" s="310" customFormat="1" ht="12.75" customHeight="1" x14ac:dyDescent="0.3">
      <c r="A147" s="914" t="s">
        <v>685</v>
      </c>
      <c r="B147" s="914"/>
      <c r="C147" s="771"/>
      <c r="D147" s="771"/>
      <c r="E147" s="771"/>
      <c r="F147" s="915"/>
      <c r="G147" s="915"/>
      <c r="H147" s="915"/>
    </row>
    <row r="148" spans="1:9" s="310" customFormat="1" ht="12.75" customHeight="1" x14ac:dyDescent="0.3">
      <c r="A148" s="906" t="s">
        <v>686</v>
      </c>
      <c r="B148" s="906"/>
      <c r="C148" s="907" t="s">
        <v>599</v>
      </c>
      <c r="D148" s="907"/>
      <c r="E148" s="907"/>
      <c r="F148" s="908" t="s">
        <v>687</v>
      </c>
      <c r="G148" s="908"/>
      <c r="H148" s="908"/>
    </row>
    <row r="149" spans="1:9" s="310" customFormat="1" ht="25.5" customHeight="1" x14ac:dyDescent="0.3">
      <c r="A149" s="906"/>
      <c r="B149" s="906"/>
      <c r="C149" s="907"/>
      <c r="D149" s="907"/>
      <c r="E149" s="907"/>
      <c r="F149" s="908"/>
      <c r="G149" s="908"/>
      <c r="H149" s="908"/>
    </row>
    <row r="150" spans="1:9" s="310" customFormat="1" ht="15" customHeight="1" x14ac:dyDescent="0.3">
      <c r="A150" s="909" t="s">
        <v>688</v>
      </c>
      <c r="B150" s="909"/>
      <c r="C150" s="910"/>
      <c r="D150" s="910"/>
      <c r="E150" s="910"/>
      <c r="F150" s="911"/>
      <c r="G150" s="911"/>
      <c r="H150" s="911"/>
    </row>
    <row r="151" spans="1:9" s="310" customFormat="1" ht="12.75" customHeight="1" x14ac:dyDescent="0.3">
      <c r="A151" s="902" t="s">
        <v>689</v>
      </c>
      <c r="B151" s="902"/>
      <c r="C151" s="905"/>
      <c r="D151" s="905"/>
      <c r="E151" s="905"/>
      <c r="F151" s="896"/>
      <c r="G151" s="896"/>
      <c r="H151" s="896"/>
    </row>
    <row r="152" spans="1:9" s="310" customFormat="1" ht="12.75" customHeight="1" x14ac:dyDescent="0.3">
      <c r="A152" s="902" t="s">
        <v>690</v>
      </c>
      <c r="B152" s="902"/>
      <c r="C152" s="900">
        <f>+C153+C154</f>
        <v>0</v>
      </c>
      <c r="D152" s="900"/>
      <c r="E152" s="900"/>
      <c r="F152" s="901">
        <f>+F153+F154</f>
        <v>0</v>
      </c>
      <c r="G152" s="901"/>
      <c r="H152" s="901"/>
      <c r="I152" s="309"/>
    </row>
    <row r="153" spans="1:9" s="310" customFormat="1" ht="12.75" customHeight="1" x14ac:dyDescent="0.3">
      <c r="A153" s="902" t="s">
        <v>691</v>
      </c>
      <c r="B153" s="902"/>
      <c r="C153" s="903"/>
      <c r="D153" s="903"/>
      <c r="E153" s="903"/>
      <c r="F153" s="904"/>
      <c r="G153" s="904"/>
      <c r="H153" s="904"/>
    </row>
    <row r="154" spans="1:9" s="310" customFormat="1" ht="12.75" customHeight="1" x14ac:dyDescent="0.3">
      <c r="A154" s="902" t="s">
        <v>692</v>
      </c>
      <c r="B154" s="902"/>
      <c r="C154" s="905"/>
      <c r="D154" s="905"/>
      <c r="E154" s="905"/>
      <c r="F154" s="896"/>
      <c r="G154" s="896"/>
      <c r="H154" s="896"/>
    </row>
    <row r="155" spans="1:9" s="310" customFormat="1" ht="12.75" customHeight="1" x14ac:dyDescent="0.3">
      <c r="A155" s="894" t="s">
        <v>693</v>
      </c>
      <c r="B155" s="894"/>
      <c r="C155" s="895"/>
      <c r="D155" s="895"/>
      <c r="E155" s="895"/>
      <c r="F155" s="896"/>
      <c r="G155" s="896"/>
      <c r="H155" s="896"/>
      <c r="I155" s="309"/>
    </row>
    <row r="156" spans="1:9" s="310" customFormat="1" ht="12.75" customHeight="1" x14ac:dyDescent="0.3">
      <c r="A156" s="894" t="s">
        <v>694</v>
      </c>
      <c r="B156" s="894"/>
      <c r="C156" s="900">
        <f>+C150+C151-ABS(C152)+C155</f>
        <v>0</v>
      </c>
      <c r="D156" s="900"/>
      <c r="E156" s="900"/>
      <c r="F156" s="901">
        <f>+F150+F151-ABS(F152)+F155</f>
        <v>0</v>
      </c>
      <c r="G156" s="901"/>
      <c r="H156" s="901"/>
      <c r="I156" s="309"/>
    </row>
    <row r="157" spans="1:9" s="310" customFormat="1" ht="12.75" customHeight="1" x14ac:dyDescent="0.3">
      <c r="A157" s="894" t="s">
        <v>695</v>
      </c>
      <c r="B157" s="894"/>
      <c r="C157" s="900">
        <f>+C158+C159</f>
        <v>0</v>
      </c>
      <c r="D157" s="900"/>
      <c r="E157" s="900"/>
      <c r="F157" s="901">
        <f>+F158+F159</f>
        <v>0</v>
      </c>
      <c r="G157" s="901"/>
      <c r="H157" s="901"/>
      <c r="I157" s="309"/>
    </row>
    <row r="158" spans="1:9" s="310" customFormat="1" ht="12.75" customHeight="1" x14ac:dyDescent="0.3">
      <c r="A158" s="894" t="s">
        <v>696</v>
      </c>
      <c r="B158" s="894"/>
      <c r="C158" s="895"/>
      <c r="D158" s="895"/>
      <c r="E158" s="895"/>
      <c r="F158" s="896"/>
      <c r="G158" s="896"/>
      <c r="H158" s="896"/>
      <c r="I158" s="309"/>
    </row>
    <row r="159" spans="1:9" s="310" customFormat="1" ht="12.75" customHeight="1" x14ac:dyDescent="0.3">
      <c r="A159" s="894" t="s">
        <v>697</v>
      </c>
      <c r="B159" s="894"/>
      <c r="C159" s="895"/>
      <c r="D159" s="895"/>
      <c r="E159" s="895"/>
      <c r="F159" s="896"/>
      <c r="G159" s="896"/>
      <c r="H159" s="896"/>
      <c r="I159" s="309"/>
    </row>
    <row r="160" spans="1:9" s="310" customFormat="1" ht="12.75" customHeight="1" x14ac:dyDescent="0.3">
      <c r="A160" s="897" t="s">
        <v>698</v>
      </c>
      <c r="B160" s="897"/>
      <c r="C160" s="898">
        <f>+C156+C157</f>
        <v>0</v>
      </c>
      <c r="D160" s="898"/>
      <c r="E160" s="898"/>
      <c r="F160" s="899">
        <f>+F156+F157</f>
        <v>0</v>
      </c>
      <c r="G160" s="899"/>
      <c r="H160" s="899"/>
      <c r="I160" s="309"/>
    </row>
    <row r="161" spans="1:8" s="310" customFormat="1" ht="12.75" customHeight="1" x14ac:dyDescent="0.3">
      <c r="A161" s="891" t="s">
        <v>550</v>
      </c>
      <c r="B161" s="891"/>
      <c r="C161" s="891"/>
      <c r="D161" s="891"/>
      <c r="E161" s="891"/>
      <c r="F161" s="891"/>
      <c r="G161" s="891"/>
      <c r="H161" s="891"/>
    </row>
    <row r="162" spans="1:8" s="310" customFormat="1" ht="12.75" customHeight="1" x14ac:dyDescent="0.3">
      <c r="A162" s="892" t="s">
        <v>699</v>
      </c>
      <c r="B162" s="892"/>
      <c r="C162" s="892"/>
      <c r="D162" s="892"/>
      <c r="E162" s="892"/>
      <c r="F162" s="892"/>
      <c r="G162" s="892"/>
      <c r="H162" s="892"/>
    </row>
    <row r="163" spans="1:8" s="310" customFormat="1" ht="25" customHeight="1" x14ac:dyDescent="0.3">
      <c r="A163" s="893" t="s">
        <v>700</v>
      </c>
      <c r="B163" s="893"/>
      <c r="C163" s="893"/>
      <c r="D163" s="893"/>
      <c r="E163" s="893"/>
      <c r="F163" s="893"/>
      <c r="G163" s="893"/>
      <c r="H163" s="893"/>
    </row>
    <row r="164" spans="1:8" s="310" customFormat="1" ht="12.75" customHeight="1" x14ac:dyDescent="0.3">
      <c r="A164" s="892" t="s">
        <v>701</v>
      </c>
      <c r="B164" s="892"/>
      <c r="C164" s="892"/>
      <c r="D164" s="892"/>
      <c r="E164" s="892"/>
      <c r="F164" s="892"/>
      <c r="G164" s="892"/>
      <c r="H164" s="892"/>
    </row>
    <row r="165" spans="1:8" s="310" customFormat="1" ht="12.75" customHeight="1" x14ac:dyDescent="0.3">
      <c r="A165" s="893" t="s">
        <v>702</v>
      </c>
      <c r="B165" s="893"/>
      <c r="C165" s="893"/>
      <c r="D165" s="893"/>
      <c r="E165" s="893"/>
      <c r="F165" s="893"/>
      <c r="G165" s="893"/>
      <c r="H165" s="893"/>
    </row>
    <row r="166" spans="1:8" s="310" customFormat="1" ht="12.75" customHeight="1" x14ac:dyDescent="0.3">
      <c r="A166" s="892" t="s">
        <v>703</v>
      </c>
      <c r="B166" s="892"/>
      <c r="C166" s="892"/>
      <c r="D166" s="892"/>
      <c r="E166" s="892"/>
      <c r="F166" s="892"/>
      <c r="G166" s="892"/>
      <c r="H166" s="892"/>
    </row>
    <row r="167" spans="1:8" ht="15.65" customHeight="1" x14ac:dyDescent="0.25">
      <c r="A167" s="890" t="s">
        <v>704</v>
      </c>
      <c r="B167" s="890"/>
      <c r="C167" s="890"/>
      <c r="D167" s="890"/>
      <c r="E167" s="890"/>
      <c r="F167" s="890"/>
      <c r="G167" s="890"/>
      <c r="H167" s="890"/>
    </row>
    <row r="168" spans="1:8" ht="16.5" customHeight="1" x14ac:dyDescent="0.25">
      <c r="A168" s="890" t="s">
        <v>705</v>
      </c>
      <c r="B168" s="890"/>
      <c r="C168" s="890"/>
      <c r="D168" s="890"/>
      <c r="E168" s="890"/>
      <c r="F168" s="890"/>
      <c r="G168" s="890"/>
      <c r="H168" s="890"/>
    </row>
  </sheetData>
  <sheetProtection password="F3F6" sheet="1" selectLockedCells="1"/>
  <mergeCells count="307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41"/>
    <mergeCell ref="D39:E40"/>
    <mergeCell ref="F39:H39"/>
    <mergeCell ref="F40:G40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A56:H56"/>
    <mergeCell ref="B57:C59"/>
    <mergeCell ref="D57:E57"/>
    <mergeCell ref="F57:H57"/>
    <mergeCell ref="D58:E58"/>
    <mergeCell ref="F58:G58"/>
    <mergeCell ref="D59:E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A72:E72"/>
    <mergeCell ref="F72:G72"/>
    <mergeCell ref="H72:H73"/>
    <mergeCell ref="A73:E73"/>
    <mergeCell ref="F73:G73"/>
    <mergeCell ref="A74:A76"/>
    <mergeCell ref="B74:B76"/>
    <mergeCell ref="C74:C75"/>
    <mergeCell ref="D74:E74"/>
    <mergeCell ref="F74:G74"/>
    <mergeCell ref="H74:H75"/>
    <mergeCell ref="A84:F84"/>
    <mergeCell ref="G84:H84"/>
    <mergeCell ref="A85:C85"/>
    <mergeCell ref="G85:H85"/>
    <mergeCell ref="G86:H86"/>
    <mergeCell ref="G87:H87"/>
    <mergeCell ref="A88:D88"/>
    <mergeCell ref="G88:H88"/>
    <mergeCell ref="G89:H89"/>
    <mergeCell ref="G90:H90"/>
    <mergeCell ref="G91:H91"/>
    <mergeCell ref="A92:F92"/>
    <mergeCell ref="G92:H92"/>
    <mergeCell ref="G93:H93"/>
    <mergeCell ref="G94:H94"/>
    <mergeCell ref="G95:H95"/>
    <mergeCell ref="A96:F96"/>
    <mergeCell ref="G96:H96"/>
    <mergeCell ref="A97:F97"/>
    <mergeCell ref="G97:H97"/>
    <mergeCell ref="A98:F98"/>
    <mergeCell ref="G98:H98"/>
    <mergeCell ref="A99:F99"/>
    <mergeCell ref="G99:H99"/>
    <mergeCell ref="A100:H100"/>
    <mergeCell ref="A101:A103"/>
    <mergeCell ref="B101:B103"/>
    <mergeCell ref="C101:C102"/>
    <mergeCell ref="D101:E101"/>
    <mergeCell ref="F101:G101"/>
    <mergeCell ref="H101:H102"/>
    <mergeCell ref="A119:F121"/>
    <mergeCell ref="G119:H121"/>
    <mergeCell ref="G122:H122"/>
    <mergeCell ref="G123:H123"/>
    <mergeCell ref="A124:C124"/>
    <mergeCell ref="G124:H124"/>
    <mergeCell ref="A125:C125"/>
    <mergeCell ref="G125:H125"/>
    <mergeCell ref="A126:C126"/>
    <mergeCell ref="G126:H126"/>
    <mergeCell ref="A127:D127"/>
    <mergeCell ref="G127:H127"/>
    <mergeCell ref="A128:F128"/>
    <mergeCell ref="G128:H128"/>
    <mergeCell ref="A129:F129"/>
    <mergeCell ref="G129:H129"/>
    <mergeCell ref="G130:H130"/>
    <mergeCell ref="A131:F131"/>
    <mergeCell ref="G131:H131"/>
    <mergeCell ref="A132:H132"/>
    <mergeCell ref="A133:A135"/>
    <mergeCell ref="B133:B135"/>
    <mergeCell ref="C133:C134"/>
    <mergeCell ref="D133:E133"/>
    <mergeCell ref="F133:G133"/>
    <mergeCell ref="H133:H134"/>
    <mergeCell ref="A142:B144"/>
    <mergeCell ref="C142:E144"/>
    <mergeCell ref="F142:H144"/>
    <mergeCell ref="A145:B145"/>
    <mergeCell ref="C145:E145"/>
    <mergeCell ref="F145:H145"/>
    <mergeCell ref="A146:B146"/>
    <mergeCell ref="C146:E146"/>
    <mergeCell ref="F146:H146"/>
    <mergeCell ref="A147:B147"/>
    <mergeCell ref="C147:E147"/>
    <mergeCell ref="F147:H147"/>
    <mergeCell ref="A148:B149"/>
    <mergeCell ref="C148:E149"/>
    <mergeCell ref="F148:H149"/>
    <mergeCell ref="A150:B150"/>
    <mergeCell ref="C150:E150"/>
    <mergeCell ref="F150:H150"/>
    <mergeCell ref="A151:B151"/>
    <mergeCell ref="C151:E151"/>
    <mergeCell ref="F151:H151"/>
    <mergeCell ref="A152:B152"/>
    <mergeCell ref="C152:E152"/>
    <mergeCell ref="F152:H152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9:B159"/>
    <mergeCell ref="C159:E159"/>
    <mergeCell ref="F159:H159"/>
    <mergeCell ref="A160:B160"/>
    <mergeCell ref="C160:E160"/>
    <mergeCell ref="F160:H160"/>
    <mergeCell ref="A167:H167"/>
    <mergeCell ref="A168:H168"/>
    <mergeCell ref="A161:H161"/>
    <mergeCell ref="A162:H162"/>
    <mergeCell ref="A163:H163"/>
    <mergeCell ref="A164:H164"/>
    <mergeCell ref="A165:H165"/>
    <mergeCell ref="A166:H166"/>
  </mergeCells>
  <conditionalFormatting sqref="A8">
    <cfRule type="cellIs" dxfId="21" priority="1" stopIfTrue="1" operator="lessThan">
      <formula>0.25</formula>
    </cfRule>
    <cfRule type="expression" dxfId="20" priority="2" stopIfTrue="1">
      <formula>$D$118&lt;($F$118+$H$118)</formula>
    </cfRule>
  </conditionalFormatting>
  <conditionalFormatting sqref="G131">
    <cfRule type="expression" dxfId="19" priority="3" stopIfTrue="1">
      <formula>XFD14=1</formula>
    </cfRule>
    <cfRule type="cellIs" dxfId="18" priority="4" stopIfTrue="1" operator="lessThan">
      <formula>0.25</formula>
    </cfRule>
  </conditionalFormatting>
  <conditionalFormatting sqref="H131">
    <cfRule type="expression" dxfId="17" priority="5" stopIfTrue="1">
      <formula>A14=1</formula>
    </cfRule>
    <cfRule type="cellIs" dxfId="16" priority="6" stopIfTrue="1" operator="lessThan">
      <formula>0.25</formula>
    </cfRule>
  </conditionalFormatting>
  <conditionalFormatting sqref="G131 F101 D101 A101">
    <cfRule type="expression" dxfId="15" priority="7" stopIfTrue="1">
      <formula>$IV$118=0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8" max="16383" man="1"/>
    <brk id="91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18</vt:i4>
      </vt:variant>
    </vt:vector>
  </HeadingPairs>
  <TitlesOfParts>
    <vt:vector size="35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29</cp:revision>
  <cp:lastPrinted>1601-01-01T00:00:00Z</cp:lastPrinted>
  <dcterms:created xsi:type="dcterms:W3CDTF">2004-08-09T19:29:24Z</dcterms:created>
  <dcterms:modified xsi:type="dcterms:W3CDTF">2017-12-08T01:03:54Z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