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85" windowHeight="8310" tabRatio="907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Cancela">#REF!,#REF!</definedName>
    <definedName name="fdsafs">#REF!,#REF!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12">#REF!,#REF!</definedName>
    <definedName name="Planilha_1ÁreaTotal" localSheetId="13">#REF!,#REF!</definedName>
    <definedName name="Planilha_1ÁreaTotal" localSheetId="14">#REF!,#REF!</definedName>
    <definedName name="Planilha_1ÁreaTotal" localSheetId="4">#REF!,#REF!</definedName>
    <definedName name="Planilha_1ÁreaTotal" localSheetId="5">#REF!,#REF!</definedName>
    <definedName name="Planilha_1ÁreaTotal" localSheetId="6">#REF!,#REF!</definedName>
    <definedName name="Planilha_1ÁreaTotal" localSheetId="7">'Anexo 7 - RP Poder e Órgão'!#REF!,'Anexo 7 - RP Poder e Órgão'!$H$11:$L$20</definedName>
    <definedName name="Planilha_1ÁreaTotal" localSheetId="8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#REF!,#REF!</definedName>
    <definedName name="Planilha_1TítCols" localSheetId="13">#REF!,#REF!</definedName>
    <definedName name="Planilha_1TítCols" localSheetId="14">#REF!,#REF!</definedName>
    <definedName name="Planilha_1TítCols" localSheetId="4">#REF!,#REF!</definedName>
    <definedName name="Planilha_1TítCols" localSheetId="5">#REF!,#REF!</definedName>
    <definedName name="Planilha_1TítCols" localSheetId="6">#REF!,#REF!</definedName>
    <definedName name="Planilha_1TítCols" localSheetId="7">'Anexo 7 - RP Poder e Órgão'!#REF!,'Anexo 7 - RP Poder e Órgão'!#REF!</definedName>
    <definedName name="Planilha_1TítCols" localSheetId="8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#REF!,#REF!</definedName>
    <definedName name="Planilha_2ÁreaTotal" localSheetId="13">#REF!,#REF!</definedName>
    <definedName name="Planilha_2ÁreaTotal" localSheetId="14">#REF!,#REF!</definedName>
    <definedName name="Planilha_2ÁreaTotal" localSheetId="5">#REF!,#REF!</definedName>
    <definedName name="Planilha_2ÁreaTotal" localSheetId="6">#REF!,#REF!</definedName>
    <definedName name="Planilha_2ÁreaTotal" localSheetId="7">#REF!,#REF!</definedName>
    <definedName name="Planilha_2ÁreaTotal" localSheetId="8">#REF!,#REF!</definedName>
    <definedName name="Planilha_2ÁreaTotal" localSheetId="9">#REF!,#REF!</definedName>
    <definedName name="Planilha_2ÁreaTotal">#REF!,#REF!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#REF!,#REF!</definedName>
    <definedName name="Planilha_2TítCols" localSheetId="13">#REF!,#REF!</definedName>
    <definedName name="Planilha_2TítCols" localSheetId="14">#REF!,#REF!</definedName>
    <definedName name="Planilha_2TítCols" localSheetId="5">#REF!,#REF!</definedName>
    <definedName name="Planilha_2TítCols" localSheetId="6">#REF!,#REF!</definedName>
    <definedName name="Planilha_2TítCols" localSheetId="7">#REF!,#REF!</definedName>
    <definedName name="Planilha_2TítCols" localSheetId="8">#REF!,#REF!</definedName>
    <definedName name="Planilha_2TítCols" localSheetId="9">#REF!,#REF!</definedName>
    <definedName name="Planilha_2TítCols">#REF!,#REF!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#REF!,#REF!</definedName>
    <definedName name="Planilha_3ÁreaTotal" localSheetId="13">#REF!,#REF!</definedName>
    <definedName name="Planilha_3ÁreaTotal" localSheetId="14">#REF!,#REF!</definedName>
    <definedName name="Planilha_3ÁreaTotal" localSheetId="5">#REF!,#REF!</definedName>
    <definedName name="Planilha_3ÁreaTotal" localSheetId="6">#REF!,#REF!</definedName>
    <definedName name="Planilha_3ÁreaTotal" localSheetId="7">#REF!,#REF!</definedName>
    <definedName name="Planilha_3ÁreaTotal" localSheetId="8">#REF!,#REF!</definedName>
    <definedName name="Planilha_3ÁreaTotal" localSheetId="9">#REF!,#REF!</definedName>
    <definedName name="Planilha_3ÁreaTotal">#REF!,#REF!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#REF!,#REF!</definedName>
    <definedName name="Planilha_3TítCols" localSheetId="13">#REF!,#REF!</definedName>
    <definedName name="Planilha_3TítCols" localSheetId="14">#REF!,#REF!</definedName>
    <definedName name="Planilha_3TítCols" localSheetId="5">#REF!,#REF!</definedName>
    <definedName name="Planilha_3TítCols" localSheetId="6">#REF!,#REF!</definedName>
    <definedName name="Planilha_3TítCols" localSheetId="7">#REF!,#REF!</definedName>
    <definedName name="Planilha_3TítCols" localSheetId="8">#REF!,#REF!</definedName>
    <definedName name="Planilha_3TítCols" localSheetId="9">#REF!,#REF!</definedName>
    <definedName name="Planilha_3TítCols">#REF!,#REF!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#REF!,#REF!</definedName>
    <definedName name="Planilha_4ÁreaTotal" localSheetId="13">#REF!,#REF!</definedName>
    <definedName name="Planilha_4ÁreaTotal" localSheetId="14">#REF!,#REF!</definedName>
    <definedName name="Planilha_4ÁreaTotal" localSheetId="5">#REF!,#REF!</definedName>
    <definedName name="Planilha_4ÁreaTotal" localSheetId="6">#REF!,#REF!</definedName>
    <definedName name="Planilha_4ÁreaTotal" localSheetId="7">#REF!,#REF!</definedName>
    <definedName name="Planilha_4ÁreaTotal" localSheetId="8">#REF!,#REF!</definedName>
    <definedName name="Planilha_4ÁreaTotal" localSheetId="9">#REF!,#REF!</definedName>
    <definedName name="Planilha_4ÁreaTotal">#REF!,#REF!</definedName>
    <definedName name="Planilha_4TítCols" localSheetId="12">#REF!,#REF!</definedName>
    <definedName name="Planilha_4TítCols" localSheetId="13">#REF!,#REF!</definedName>
    <definedName name="Planilha_4TítCols" localSheetId="14">#REF!,#REF!</definedName>
    <definedName name="Planilha_4TítCols" localSheetId="5">#REF!,#REF!</definedName>
    <definedName name="Planilha_4TítCols" localSheetId="6">#REF!,#REF!</definedName>
    <definedName name="Planilha_4TítCols" localSheetId="7">#REF!,#REF!</definedName>
    <definedName name="Planilha_4TítCols" localSheetId="8">#REF!,#REF!</definedName>
    <definedName name="Planilha_4TítCols" localSheetId="9">#REF!,#REF!</definedName>
    <definedName name="Planilha_4TítCols">#REF!,#REF!</definedName>
    <definedName name="Planilha_Educação" localSheetId="12">#REF!,#REF!</definedName>
    <definedName name="Planilha_Educação">#REF!,#REF!</definedName>
    <definedName name="Planilha1">#REF!,#REF!</definedName>
    <definedName name="Planilhas">#REF!</definedName>
    <definedName name="_xlnm.Print_Area" localSheetId="1">'Anexo 1 - Balanço Orçamentário'!$A$1:$L$201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PPP'!$A$1:$L$33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RCL'!$A$1:$O$31</definedName>
    <definedName name="_xlnm.Print_Area" localSheetId="4">'Anexo 4 - RPPS'!$A$1:$K$153</definedName>
    <definedName name="_xlnm.Print_Area" localSheetId="5">'Anexo 5 - Resultado Nominal'!$A$1:$G$32</definedName>
    <definedName name="_xlnm.Print_Area" localSheetId="6">'Anexo 6 - Primário Municípios'!$A$1:$H$65</definedName>
    <definedName name="_xlnm.Print_Area" localSheetId="7">'Anexo 7 - RP Poder e Órgão'!$A$1:$M$21</definedName>
    <definedName name="_xlnm.Print_Area" localSheetId="8">'Anexo 8 - MDE'!$A$1:$H$168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#REF!</definedName>
    <definedName name="RGPS1">#REF!</definedName>
    <definedName name="RGPS2">#REF!,#REF!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<sst xmlns="http://schemas.openxmlformats.org/spreadsheetml/2006/main" count="1628" uniqueCount="1041">
  <si>
    <t>&lt;IDENTIFICAÇÃO DO ÓRGÃO, QUANDO O DEMONSTRATIVO FOR ESPECÍFICO DE UM ÓRGÃO&gt;</t>
  </si>
  <si>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</si>
  <si>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</si>
  <si>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r>
      <t>&lt;</t>
    </r>
    <r>
      <rPr>
        <b/>
        <sz val="8"/>
        <rFont val="Cambria"/>
        <family val="1"/>
      </rPr>
      <t>SELECIONE O PERÍODO</t>
    </r>
    <r>
      <rPr>
        <sz val="8"/>
        <rFont val="Cambria"/>
        <family val="1"/>
      </rPr>
      <t xml:space="preserve"> CLICANDO NA SETA AO LADO&gt;</t>
    </r>
  </si>
  <si>
    <t>1º Bimestre de 2017</t>
  </si>
  <si>
    <r>
      <t xml:space="preserve">INFORMAÇÕES INICIAIS - </t>
    </r>
    <r>
      <rPr>
        <b/>
        <sz val="12"/>
        <rFont val="Times New Roman"/>
        <family val="1"/>
      </rPr>
      <t>Versão 2017.1</t>
    </r>
  </si>
  <si>
    <t>2º Bimestre de 2017</t>
  </si>
  <si>
    <t>3º Bimestre de 2017</t>
  </si>
  <si>
    <t>DADOS DO GESTOR</t>
  </si>
  <si>
    <t>4º Bimestre de 2017</t>
  </si>
  <si>
    <t>Nome do Gestor</t>
  </si>
  <si>
    <t>5º Bimestre de 2017</t>
  </si>
  <si>
    <t>Período de Mandato</t>
  </si>
  <si>
    <t>6º Bimestre de 2017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</si>
  <si>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</si>
  <si>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</si>
  <si>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</si>
  <si>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</si>
  <si>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</si>
  <si>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</si>
  <si>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</si>
  <si>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</si>
  <si>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</si>
  <si>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</si>
  <si>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</si>
  <si>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</si>
  <si>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</si>
  <si>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V2017.1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</si>
  <si>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</si>
  <si>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</si>
  <si>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</si>
  <si>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</si>
  <si>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</si>
  <si>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</si>
  <si>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</si>
  <si>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</si>
  <si>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</si>
  <si>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</si>
  <si>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</si>
  <si>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</si>
  <si>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</si>
  <si>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</si>
  <si>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</si>
  <si>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</si>
  <si>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</si>
  <si>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</si>
  <si>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</si>
  <si>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</si>
  <si>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</si>
  <si>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</si>
  <si>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</si>
  <si>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</si>
  <si>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</si>
  <si>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</si>
  <si>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</si>
  <si>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</si>
  <si>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</si>
  <si>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</si>
  <si>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</si>
  <si>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</si>
  <si>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</si>
  <si>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</si>
  <si>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</si>
  <si>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</si>
  <si>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</si>
  <si>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</si>
  <si>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</si>
  <si>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</si>
  <si>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</si>
  <si>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</si>
  <si>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</si>
  <si>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</si>
  <si>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</si>
  <si>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</si>
  <si>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</si>
  <si>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</si>
  <si>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</si>
  <si>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</si>
  <si>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</si>
  <si>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</si>
  <si>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</si>
  <si>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</si>
  <si>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</si>
  <si>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</si>
  <si>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</si>
  <si>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</si>
  <si>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Receitas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</si>
  <si>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</si>
  <si>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</si>
  <si>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</si>
  <si>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</si>
  <si>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</si>
  <si>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</si>
  <si>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</si>
  <si>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</si>
  <si>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</si>
  <si>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</si>
  <si>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</si>
  <si>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</si>
  <si>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</si>
  <si>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 Dív. Atv. Prov. da Amortiz. de Emp. e Financ.       </t>
  </si>
  <si>
    <t xml:space="preserve">           Receitas Auferida por Detentores de Titulos do Tesouro Nacional Resgatados</t>
  </si>
  <si>
    <t xml:space="preserve">           Receitas da Alienacao de Certificados de Potencial Adicional de Construção - CEPAC</t>
  </si>
  <si>
    <t xml:space="preserve">           Receitas de Capital Diversas</t>
  </si>
  <si>
    <t>♠</t>
  </si>
  <si>
    <t>RECEITAS (INTRA-ORÇAMENTÁRIAS) (II)    Linha 126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</si>
  <si>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</si>
  <si>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</si>
  <si>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</si>
  <si>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</si>
  <si>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</si>
  <si>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</si>
  <si>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</si>
  <si>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</si>
  <si>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</si>
  <si>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</si>
  <si>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Recursos Arrecadados em Exercícios Anteriores - RPPS</t>
  </si>
  <si>
    <t xml:space="preserve">    Superávit Financeiro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</si>
  <si>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</si>
  <si>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</si>
  <si>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</si>
  <si>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</si>
  <si>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</si>
  <si>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</si>
  <si>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</si>
  <si>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</si>
  <si>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</si>
  <si>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</si>
  <si>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</si>
  <si>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</si>
  <si>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</si>
  <si>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</si>
  <si>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</si>
  <si>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</si>
  <si>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</si>
  <si>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</si>
  <si>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</si>
  <si>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</si>
  <si>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</si>
  <si>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</si>
  <si>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</si>
  <si>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</si>
  <si>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</si>
  <si>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</si>
  <si>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</si>
  <si>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</si>
  <si>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</si>
  <si>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</si>
  <si>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</si>
  <si>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</si>
  <si>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</si>
  <si>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</si>
  <si>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</si>
  <si>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</si>
  <si>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</si>
  <si>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</si>
  <si>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</si>
  <si>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</si>
  <si>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</si>
  <si>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   Outras Receitas Industriais</t>
  </si>
  <si>
    <t xml:space="preserve">           Dív. Atv. Prov. da Amortiz. de Emp. e Financ.       </t>
  </si>
  <si>
    <t xml:space="preserve">           Outras Receitas de Capital</t>
  </si>
  <si>
    <t>DESPESAS INTRA-ORÇAMENTÁRIAS</t>
  </si>
  <si>
    <t>INSCRITAS EM RESTOS A PAGAR NÃO PROCESSADOS</t>
  </si>
  <si>
    <t>Até o 
Bimestre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</si>
  <si>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</si>
  <si>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</si>
  <si>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</si>
  <si>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</si>
  <si>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</si>
  <si>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</si>
  <si>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</si>
  <si>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</si>
  <si>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</si>
  <si>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</si>
  <si>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</si>
  <si>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</si>
  <si>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</si>
  <si>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</si>
  <si>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</si>
  <si>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</si>
  <si>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</si>
  <si>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</si>
  <si>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</si>
  <si>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</si>
  <si>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</si>
  <si>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</si>
  <si>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</si>
  <si>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</si>
  <si>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</si>
  <si>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</si>
  <si>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</si>
  <si>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</si>
  <si>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</si>
  <si>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</si>
  <si>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</si>
  <si>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</si>
  <si>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</si>
  <si>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</si>
  <si>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</si>
  <si>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</si>
  <si>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</si>
  <si>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</si>
  <si>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</si>
  <si>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</si>
  <si>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</si>
  <si>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</si>
  <si>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</si>
  <si>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</si>
  <si>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</si>
  <si>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</si>
  <si>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</si>
  <si>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</si>
  <si>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</si>
  <si>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</si>
  <si>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</si>
  <si>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</si>
  <si>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</si>
  <si>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</si>
  <si>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</si>
  <si>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</si>
  <si>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</si>
  <si>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</si>
  <si>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</si>
  <si>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</si>
  <si>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</si>
  <si>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</si>
  <si>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</si>
  <si>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</si>
  <si>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</si>
  <si>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</si>
  <si>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</si>
  <si>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</si>
  <si>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</si>
  <si>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</si>
  <si>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</si>
  <si>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</si>
  <si>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</si>
  <si>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</si>
  <si>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</si>
  <si>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</si>
  <si>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</si>
  <si>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</si>
  <si>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</si>
  <si>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</si>
  <si>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</si>
  <si>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</si>
  <si>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</si>
  <si>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</si>
  <si>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</si>
  <si>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</si>
  <si>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</si>
  <si>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</si>
  <si>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</si>
  <si>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</si>
  <si>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</si>
  <si>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</si>
  <si>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</si>
  <si>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</si>
  <si>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</si>
  <si>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</si>
  <si>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</si>
  <si>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</si>
  <si>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</si>
  <si>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</si>
  <si>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</si>
  <si>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</si>
  <si>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</si>
  <si>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</si>
  <si>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</si>
  <si>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</si>
  <si>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</si>
  <si>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</si>
  <si>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</si>
  <si>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</si>
  <si>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</si>
  <si>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</si>
  <si>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</si>
  <si>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</si>
  <si>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</si>
  <si>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</si>
  <si>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</si>
  <si>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</si>
  <si>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</si>
  <si>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</si>
  <si>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</si>
  <si>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</si>
  <si>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</si>
  <si>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</si>
  <si>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</si>
  <si>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</si>
  <si>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</si>
  <si>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</si>
  <si>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</si>
  <si>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</si>
  <si>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</si>
  <si>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</si>
  <si>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Biocombutíveis</t>
  </si>
  <si>
    <t xml:space="preserve">    TRANSPORTE</t>
  </si>
  <si>
    <t>Transporte Áereo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</si>
  <si>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</si>
  <si>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</si>
  <si>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</si>
  <si>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</si>
  <si>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</si>
  <si>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</si>
  <si>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</si>
  <si>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</si>
  <si>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</si>
  <si>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</si>
  <si>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</si>
  <si>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</si>
  <si>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</si>
  <si>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Outras 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</si>
  <si>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</si>
  <si>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</si>
  <si>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</si>
  <si>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</si>
  <si>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</si>
  <si>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</si>
  <si>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Fev</t>
  </si>
  <si>
    <t>Jan</t>
  </si>
  <si>
    <t>Dez</t>
  </si>
  <si>
    <t>Abr</t>
  </si>
  <si>
    <t>Mar</t>
  </si>
  <si>
    <t>Jun</t>
  </si>
  <si>
    <t>Mai</t>
  </si>
  <si>
    <t>Ago</t>
  </si>
  <si>
    <t>Jul</t>
  </si>
  <si>
    <t>DEMONSTRATIVO DA RECEITA CORRENTE LÍQUIDA</t>
  </si>
  <si>
    <t>Out</t>
  </si>
  <si>
    <t>Set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</si>
  <si>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</si>
  <si>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</si>
  <si>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</si>
  <si>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</si>
  <si>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</si>
  <si>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</si>
  <si>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Receita Tributária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</si>
  <si>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</si>
  <si>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</si>
  <si>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</si>
  <si>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</si>
  <si>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Outras Receitas Tributárias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</si>
  <si>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</si>
  <si>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</si>
  <si>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</si>
  <si>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</si>
  <si>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</si>
  <si>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</si>
  <si>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</si>
  <si>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</si>
  <si>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</si>
  <si>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</si>
  <si>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</si>
  <si>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</si>
  <si>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</si>
  <si>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</si>
  <si>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</si>
  <si>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</si>
  <si>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</si>
  <si>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</si>
  <si>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</si>
  <si>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</si>
  <si>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</si>
  <si>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</si>
  <si>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</si>
  <si>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</si>
  <si>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</si>
  <si>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</si>
  <si>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</si>
  <si>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</si>
  <si>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</si>
  <si>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</si>
  <si>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</si>
  <si>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</si>
  <si>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</si>
  <si>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</si>
  <si>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</si>
  <si>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</si>
  <si>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</si>
  <si>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</si>
  <si>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</si>
  <si>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</si>
  <si>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</si>
  <si>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</si>
  <si>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</si>
  <si>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RECEITAS DE CAPITAL (II)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</si>
  <si>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</si>
  <si>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</si>
  <si>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</si>
  <si>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(III) = (I + II)</t>
  </si>
  <si>
    <t>DESPESAS PREVIDENCIÁRIAS - RPPS</t>
  </si>
  <si>
    <t xml:space="preserve"> Em</t>
  </si>
  <si>
    <t xml:space="preserve">    ADMINISTRAÇÃO (IV)</t>
  </si>
  <si>
    <t xml:space="preserve">        Despesas Correntes</t>
  </si>
  <si>
    <t xml:space="preserve">        Despesas de Capital</t>
  </si>
  <si>
    <t xml:space="preserve">    PREVIDÊNCIA (V)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</si>
  <si>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</si>
  <si>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</si>
  <si>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</si>
  <si>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</si>
  <si>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</si>
  <si>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</si>
  <si>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</si>
  <si>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</si>
  <si>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</si>
  <si>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(VI) = (IV + V)</t>
  </si>
  <si>
    <t>RESULTADO PREVIDENCIÁRIO (VII) = (III – VI)</t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</si>
  <si>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</si>
  <si>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</si>
  <si>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</si>
  <si>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</si>
  <si>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</si>
  <si>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</si>
  <si>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</si>
  <si>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</si>
  <si>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</si>
  <si>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</si>
  <si>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</si>
  <si>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</si>
  <si>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</si>
  <si>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</si>
  <si>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</si>
  <si>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</si>
  <si>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</si>
  <si>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(VIII)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</si>
  <si>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</si>
  <si>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</si>
  <si>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</si>
  <si>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</si>
  <si>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</si>
  <si>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</si>
  <si>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</si>
  <si>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</si>
  <si>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</si>
  <si>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</si>
  <si>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</si>
  <si>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    Compensação Previdenciária do RGPS para o RPPS</t>
  </si>
  <si>
    <t xml:space="preserve">        Demais Receitas Correntes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</si>
  <si>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</si>
  <si>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</si>
  <si>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</si>
  <si>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</si>
  <si>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INTRA-ORÇAMENTÁRIAS
(X) = (VIII + IX)</t>
  </si>
  <si>
    <t>ADMINISTRAÇÃO (XI)</t>
  </si>
  <si>
    <t xml:space="preserve">    Despesas Correntes</t>
  </si>
  <si>
    <t xml:space="preserve">    Despesas de Capital</t>
  </si>
  <si>
    <t>PREVIDÊNCIA (XII)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</si>
  <si>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</si>
  <si>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</si>
  <si>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</si>
  <si>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</si>
  <si>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</si>
  <si>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</si>
  <si>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</si>
  <si>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</si>
  <si>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(XIII) = (XI + XII)</t>
  </si>
  <si>
    <t>RESULTADO PREVIDENCIÁRIO (XIV) = (X - XII)</t>
  </si>
  <si>
    <t>APORTES DE RECURSOS PARA O PLANO FINANCEIRO DO RPPS</t>
  </si>
  <si>
    <t>Recursos para Cobertura de Insuficiências Financeiras</t>
  </si>
  <si>
    <t>Recursos para a Formação de Reserva</t>
  </si>
  <si>
    <t>Tabela 5 - Demonstrativo do Resultado Nominal</t>
  </si>
  <si>
    <t>DEMONSTRATIVO DO RESULTADO NOMINAL</t>
  </si>
  <si>
    <t>RREO - ANEXO 5 (LRF, art 53, inciso III)</t>
  </si>
  <si>
    <t>DÍVIDA FISCAL LÍQUIDA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</si>
  <si>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</si>
  <si>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</si>
  <si>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</si>
  <si>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</si>
  <si>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</si>
  <si>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</si>
  <si>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</si>
  <si>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</si>
  <si>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</si>
  <si>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</si>
  <si>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</si>
  <si>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</si>
  <si>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</si>
  <si>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</si>
  <si>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</si>
  <si>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</si>
  <si>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</si>
  <si>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</si>
  <si>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</si>
  <si>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</si>
  <si>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</si>
  <si>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</si>
  <si>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</si>
  <si>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</si>
  <si>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    Outras Receitas de Contribuições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</si>
  <si>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</si>
  <si>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</si>
  <si>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</si>
  <si>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</si>
  <si>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</si>
  <si>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</si>
  <si>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</si>
  <si>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</si>
  <si>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</si>
  <si>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</si>
  <si>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</si>
  <si>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</si>
  <si>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</si>
  <si>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</si>
  <si>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</si>
  <si>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</si>
  <si>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</si>
  <si>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</si>
  <si>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</si>
  <si>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</si>
  <si>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</si>
  <si>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</si>
  <si>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Investimentos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</si>
  <si>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</si>
  <si>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</si>
  <si>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</si>
  <si>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</si>
  <si>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</si>
  <si>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</si>
  <si>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</si>
  <si>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</si>
  <si>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</si>
  <si>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</si>
  <si>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</si>
  <si>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</si>
  <si>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</si>
  <si>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</si>
  <si>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</si>
  <si>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</si>
  <si>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</si>
  <si>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</si>
  <si>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>Saldo Total (a+b)</t>
  </si>
  <si>
    <t>Inscritos</t>
  </si>
  <si>
    <t>Pagos</t>
  </si>
  <si>
    <t>Cancelados</t>
  </si>
  <si>
    <t>Saldo</t>
  </si>
  <si>
    <t>Liquidados</t>
  </si>
  <si>
    <t>Em Exercícios Anteriores</t>
  </si>
  <si>
    <t>Em 31 de dezembro de</t>
  </si>
  <si>
    <t>RESTOS A PAGAR (EXCETO INTRA-ORÇAMENTÁRIOS) (I)</t>
  </si>
  <si>
    <t xml:space="preserve">    Poder Executivo Municipal</t>
  </si>
  <si>
    <t xml:space="preserve">    Poder Legislativo Municipal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</si>
  <si>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</si>
  <si>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</si>
  <si>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</si>
  <si>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</si>
  <si>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</si>
  <si>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</si>
  <si>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</si>
  <si>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</si>
  <si>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</si>
  <si>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</si>
  <si>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</si>
  <si>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</si>
  <si>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</si>
  <si>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</si>
  <si>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</si>
  <si>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</si>
  <si>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</si>
  <si>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</si>
  <si>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</si>
  <si>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</si>
  <si>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</si>
  <si>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</si>
  <si>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</si>
  <si>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Mora, Dívida Ativa e Outros Encargos do ITR</t>
    </r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</si>
  <si>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</si>
  <si>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</si>
  <si>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</si>
  <si>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</si>
  <si>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</si>
  <si>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</si>
  <si>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</si>
  <si>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</si>
  <si>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</si>
  <si>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</si>
  <si>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</si>
  <si>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</si>
  <si>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</si>
  <si>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</si>
  <si>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</si>
  <si>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</si>
  <si>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</si>
  <si>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</si>
  <si>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</si>
  <si>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</si>
  <si>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</si>
  <si>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</si>
  <si>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</si>
  <si>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</si>
  <si>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</si>
  <si>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</si>
  <si>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</si>
  <si>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</si>
  <si>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</si>
  <si>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</si>
  <si>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</si>
  <si>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</si>
  <si>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</si>
  <si>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</si>
  <si>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</si>
  <si>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</si>
  <si>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</si>
  <si>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</si>
  <si>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</si>
  <si>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</si>
  <si>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</si>
  <si>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</si>
  <si>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</si>
  <si>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</si>
  <si>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</si>
  <si>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</si>
  <si>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(g)</t>
  </si>
  <si>
    <t>(h) = (g/d)x100</t>
  </si>
  <si>
    <t>(i)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</si>
  <si>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</si>
  <si>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</si>
  <si>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</si>
  <si>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</si>
  <si>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</si>
  <si>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</si>
  <si>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</si>
  <si>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</si>
  <si>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</si>
  <si>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</si>
  <si>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</si>
  <si>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</si>
  <si>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</si>
  <si>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</si>
  <si>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</si>
  <si>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</si>
  <si>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</si>
  <si>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</si>
  <si>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</si>
  <si>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</si>
  <si>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SUBSEQÜENTE</t>
  </si>
  <si>
    <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</si>
  <si>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</si>
  <si>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</si>
  <si>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</si>
  <si>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</si>
  <si>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</si>
  <si>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</si>
  <si>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</si>
  <si>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</si>
  <si>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</si>
  <si>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</si>
  <si>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</si>
  <si>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</si>
  <si>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</si>
  <si>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</si>
  <si>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</si>
  <si>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</si>
  <si>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</si>
  <si>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</si>
  <si>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</si>
  <si>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</si>
  <si>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31- RECEITA DE APLICAÇÃO FINANCEIRA DOS RECURSOS DO FUNDEB ATÉ O BIMESTRE = (49)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</si>
  <si>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</si>
  <si>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</si>
  <si>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</si>
  <si>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</si>
  <si>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</si>
  <si>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</si>
  <si>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</si>
  <si>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</si>
  <si>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</si>
  <si>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</si>
  <si>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</si>
  <si>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</si>
  <si>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</si>
  <si>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</si>
  <si>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</si>
  <si>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</si>
  <si>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</si>
  <si>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</si>
  <si>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</si>
  <si>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</si>
  <si>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</si>
  <si>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</si>
  <si>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</si>
  <si>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</si>
  <si>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</si>
  <si>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</si>
  <si>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</si>
  <si>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</si>
  <si>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</si>
  <si>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</si>
  <si>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</si>
  <si>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</si>
  <si>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</si>
  <si>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</si>
  <si>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</si>
  <si>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</si>
  <si>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</si>
  <si>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</si>
  <si>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</si>
  <si>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</si>
  <si>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</si>
  <si>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</si>
  <si>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</si>
  <si>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</si>
  <si>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</si>
  <si>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</si>
  <si>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</si>
  <si>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</si>
  <si>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</si>
  <si>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</si>
  <si>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</si>
  <si>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</si>
  <si>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</si>
  <si>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</si>
  <si>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</si>
  <si>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</si>
  <si>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</si>
  <si>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</si>
  <si>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</si>
  <si>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</si>
  <si>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</si>
  <si>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</si>
  <si>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</si>
  <si>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</si>
  <si>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</si>
  <si>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</si>
  <si>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</si>
  <si>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</si>
  <si>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</si>
  <si>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</si>
  <si>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</si>
  <si>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</si>
  <si>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</si>
  <si>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</si>
  <si>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</si>
  <si>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</si>
  <si>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</si>
  <si>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</si>
  <si>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</si>
  <si>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</si>
  <si>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</si>
  <si>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</si>
  <si>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</si>
  <si>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</si>
  <si>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</si>
  <si>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</si>
  <si>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</si>
  <si>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</si>
  <si>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</si>
  <si>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</si>
  <si>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</si>
  <si>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</si>
  <si>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</si>
  <si>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</si>
  <si>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</si>
  <si>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</si>
  <si>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</si>
  <si>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</si>
  <si>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</si>
  <si>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</si>
  <si>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</si>
  <si>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</si>
  <si>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</si>
  <si>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</si>
  <si>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</si>
  <si>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</si>
  <si>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</si>
  <si>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</si>
  <si>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</si>
  <si>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</si>
  <si>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</si>
  <si>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</si>
  <si>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</si>
  <si>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</si>
  <si>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</si>
  <si>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</si>
  <si>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</si>
  <si>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</si>
  <si>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</si>
  <si>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</si>
  <si>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</si>
  <si>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</si>
  <si>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</si>
  <si>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</si>
  <si>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</si>
  <si>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</si>
  <si>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</si>
  <si>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</si>
  <si>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</si>
  <si>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</si>
  <si>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</si>
  <si>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</si>
  <si>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</si>
  <si>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</si>
  <si>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</si>
  <si>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</si>
  <si>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</si>
  <si>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</si>
  <si>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</si>
  <si>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</si>
  <si>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</si>
  <si>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</si>
  <si>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</si>
  <si>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</si>
  <si>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</si>
  <si>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</si>
  <si>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</si>
  <si>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</si>
  <si>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</si>
  <si>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</si>
  <si>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</si>
  <si>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</si>
  <si>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</si>
  <si>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</si>
  <si>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</si>
  <si>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</si>
  <si>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</si>
  <si>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</si>
  <si>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</si>
  <si>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</si>
  <si>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</si>
  <si>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</si>
  <si>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</si>
  <si>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</si>
  <si>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</si>
  <si>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</si>
  <si>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</si>
  <si>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</si>
  <si>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</si>
  <si>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</si>
  <si>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</si>
  <si>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</si>
  <si>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</si>
  <si>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</si>
  <si>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</si>
  <si>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</si>
  <si>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</si>
  <si>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</si>
  <si>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</si>
  <si>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</si>
  <si>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</si>
  <si>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</si>
  <si>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</si>
  <si>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</si>
  <si>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</si>
  <si>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</si>
  <si>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</si>
  <si>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</si>
  <si>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</si>
  <si>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</si>
  <si>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</si>
  <si>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</si>
  <si>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</si>
  <si>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</si>
  <si>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</si>
  <si>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</si>
  <si>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</si>
  <si>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</si>
  <si>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</si>
  <si>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</si>
  <si>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</si>
  <si>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</si>
  <si>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</si>
  <si>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</si>
  <si>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</si>
  <si>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</si>
  <si>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</si>
  <si>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</si>
  <si>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</si>
  <si>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</si>
  <si>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</si>
  <si>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</si>
  <si>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</si>
  <si>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</si>
  <si>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</si>
  <si>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</si>
  <si>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</si>
  <si>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</si>
  <si>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</si>
  <si>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</si>
  <si>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</si>
  <si>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</si>
  <si>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</si>
  <si>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</si>
  <si>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</si>
  <si>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</si>
  <si>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</si>
  <si>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</si>
  <si>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</si>
  <si>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</si>
  <si>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</si>
  <si>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</si>
  <si>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</si>
  <si>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</si>
  <si>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</si>
  <si>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</si>
  <si>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</si>
  <si>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</si>
  <si>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</si>
  <si>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</si>
  <si>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</si>
  <si>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</si>
  <si>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</si>
  <si>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</si>
  <si>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</si>
  <si>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</si>
  <si>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</si>
  <si>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</si>
  <si>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</si>
  <si>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</si>
  <si>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</si>
  <si>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</si>
  <si>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</si>
  <si>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</si>
  <si>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</si>
  <si>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</si>
  <si>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</si>
  <si>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</si>
  <si>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</si>
  <si>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</si>
  <si>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</si>
  <si>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</si>
  <si>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</si>
  <si>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</si>
  <si>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</si>
  <si>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</si>
  <si>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</si>
  <si>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</si>
  <si>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</si>
  <si>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Garantias Concedidas</t>
  </si>
  <si>
    <t>EXERCÍCIO ANTERIOR</t>
  </si>
  <si>
    <t>EXERCÍCIO CORRENTE</t>
  </si>
  <si>
    <t>DESPESAS DE PPP</t>
  </si>
  <si>
    <t>Do Ente Federado, Exceto Estatais Não Dependentes (I)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</si>
  <si>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</si>
  <si>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</si>
  <si>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</si>
  <si>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</si>
  <si>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</si>
  <si>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</si>
  <si>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Nota: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</si>
  <si>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</si>
  <si>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</si>
  <si>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</si>
  <si>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</si>
  <si>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</si>
  <si>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</si>
  <si>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</si>
  <si>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</si>
  <si>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</si>
  <si>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</si>
  <si>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</si>
  <si>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</si>
  <si>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</si>
  <si>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</si>
  <si>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</si>
  <si>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</si>
  <si>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</si>
  <si>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</si>
  <si>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</si>
  <si>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</si>
  <si>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</si>
  <si>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</si>
  <si>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</si>
  <si>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</si>
  <si>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</si>
  <si>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</si>
  <si>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</si>
  <si>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</si>
  <si>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</si>
  <si>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</si>
  <si>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</si>
  <si>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</si>
  <si>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</si>
  <si>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</si>
  <si>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</si>
  <si>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</si>
  <si>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</si>
  <si>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</si>
  <si>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</si>
  <si>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</si>
  <si>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</si>
  <si>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</si>
  <si>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</si>
  <si>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</si>
  <si>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</si>
  <si>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</si>
  <si>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</si>
  <si>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</si>
  <si>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</si>
  <si>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</si>
  <si>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</si>
  <si>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</si>
  <si>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</si>
  <si>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</si>
  <si>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</si>
  <si>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</si>
  <si>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</si>
  <si>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</si>
  <si>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</si>
  <si>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</si>
  <si>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</si>
  <si>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</si>
  <si>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</si>
  <si>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</si>
  <si>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</si>
  <si>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</si>
  <si>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</si>
  <si>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</si>
  <si>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</si>
  <si>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</si>
  <si>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</si>
  <si>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</si>
  <si>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</si>
  <si>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</si>
  <si>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</si>
  <si>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</si>
  <si>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</si>
  <si>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</si>
  <si>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</si>
  <si>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</si>
  <si>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</si>
  <si>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</si>
  <si>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</si>
  <si>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</si>
  <si>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</si>
  <si>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</si>
  <si>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Em 31/Dez/2016</t>
  </si>
  <si>
    <t>Em 31/dez/2016</t>
  </si>
  <si>
    <t>Em 2017</t>
  </si>
  <si>
    <t/>
  </si>
  <si>
    <t>IVANILDO PAIVA BARBOSA</t>
  </si>
  <si>
    <t>2013/2016</t>
  </si>
  <si>
    <t>252.222.953-20</t>
  </si>
  <si>
    <t>GUSTAVO SILVA DE FRANÇA</t>
  </si>
  <si>
    <t>CRC.013563/O-6</t>
  </si>
  <si>
    <t>MURAL DA PREFEITURA E PORTAL TRANSPARENCIA</t>
  </si>
  <si>
    <t>www.davinopolis.ma.gov.br</t>
  </si>
  <si>
    <t>RUA ADALIA S/N</t>
  </si>
  <si>
    <t>(99)3534-1790</t>
  </si>
  <si>
    <t>ESTADO DO MARANHÃO - PREFEITURA MUNICIPAL DE DAVINOPOLIS</t>
  </si>
  <si>
    <t>&lt;CNPJ:01.616.269/0001-60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</si>
</sst>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* #,##0.00_);_(* \(#,##0.00\);_(* &quot;-&quot;??_);_(@_)"/>
    <numFmt numFmtId="175" formatCode="&quot;R$ &quot;#,##0.00_);[Red]\(&quot;R$ &quot;#,##0.00\)"/>
    <numFmt numFmtId="176" formatCode="#,##0.0_);\(#,##0.0\)"/>
  </numFmts>
  <fonts count="120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8"/>
      <name val="Times New Roman"/>
      <family val="1"/>
    </font>
    <font>
      <b/>
      <sz val="8"/>
      <name val="Arial"/>
      <family val="2"/>
    </font>
    <font>
      <sz val="8"/>
      <name val="Cambria"/>
      <family val="1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trike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vertAlign val="superscript"/>
      <sz val="8"/>
      <name val="Cambria"/>
      <family val="1"/>
    </font>
    <font>
      <vertAlign val="superscript"/>
      <sz val="8"/>
      <name val="Times New Roman"/>
      <family val="1"/>
    </font>
    <font>
      <b/>
      <sz val="8"/>
      <color indexed="9"/>
      <name val="Cambria"/>
      <family val="1"/>
    </font>
    <font>
      <sz val="8"/>
      <color indexed="9"/>
      <name val="Cambria"/>
      <family val="1"/>
    </font>
    <font>
      <vertAlign val="superscript"/>
      <sz val="8"/>
      <name val="Cambria"/>
      <family val="1"/>
    </font>
    <font>
      <b/>
      <sz val="8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trike/>
      <sz val="8"/>
      <color indexed="10"/>
      <name val="Times New Roman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b/>
      <u val="single"/>
      <sz val="8"/>
      <name val="Cambria"/>
      <family val="1"/>
    </font>
    <font>
      <sz val="10"/>
      <color indexed="9"/>
      <name val="Arial"/>
      <family val="2"/>
    </font>
    <font>
      <b/>
      <sz val="8"/>
      <color indexed="53"/>
      <name val="Cambria"/>
      <family val="1"/>
    </font>
    <font>
      <b/>
      <sz val="8"/>
      <color indexed="30"/>
      <name val="Cambria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9"/>
      <name val="Arial"/>
      <family val="2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name val="Cambria"/>
      <family val="1"/>
    </font>
    <font>
      <sz val="12"/>
      <name val="Cambria"/>
      <family val="1"/>
    </font>
    <font>
      <b/>
      <sz val="16"/>
      <color indexed="12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trike/>
      <sz val="8"/>
      <color rgb="FFFF0000"/>
      <name val="Times New Roman"/>
      <family val="1"/>
    </font>
    <font>
      <sz val="8"/>
      <color theme="0"/>
      <name val="Arial"/>
      <family val="2"/>
    </font>
    <font>
      <sz val="8"/>
      <color theme="0"/>
      <name val="Times New Roman"/>
      <family val="1"/>
    </font>
    <font>
      <sz val="10"/>
      <color theme="0"/>
      <name val="Arial"/>
      <family val="2"/>
    </font>
    <font>
      <b/>
      <sz val="8"/>
      <color theme="9" tint="-0.24997000396251678"/>
      <name val="Cambria"/>
      <family val="1"/>
    </font>
    <font>
      <b/>
      <sz val="8"/>
      <color rgb="FF0070C0"/>
      <name val="Cambria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theme="0"/>
      <name val="Arial"/>
      <family val="2"/>
    </font>
    <font>
      <b/>
      <sz val="8"/>
      <color rgb="FFFF0000"/>
      <name val="Times New Roman"/>
      <family val="1"/>
    </font>
    <font>
      <sz val="8"/>
      <color theme="0"/>
      <name val="Cambria"/>
      <family val="1"/>
    </font>
    <font>
      <b/>
      <sz val="9"/>
      <color rgb="FFFF0000"/>
      <name val="Times New Roman"/>
      <family val="1"/>
    </font>
    <font>
      <b/>
      <sz val="8"/>
      <color theme="0"/>
      <name val="Times New Roman"/>
      <family val="1"/>
    </font>
    <font>
      <b/>
      <sz val="16"/>
      <color rgb="FF0000FF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lightUp">
        <bgColor theme="2" tint="-0.4999699890613556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</borders>
  <cellStyleXfs count="67"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9" fillId="29" borderId="1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4" fillId="21" borderId="5" applyNumberFormat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34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175" fontId="2" fillId="0" borderId="0" xfId="0" applyNumberFormat="1" applyFont="1" applyFill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/>
      <protection/>
    </xf>
    <xf numFmtId="43" fontId="2" fillId="34" borderId="13" xfId="65" applyFont="1" applyFill="1" applyBorder="1" applyAlignment="1" applyProtection="1">
      <alignment horizontal="center"/>
      <protection locked="0"/>
    </xf>
    <xf numFmtId="43" fontId="2" fillId="34" borderId="0" xfId="65" applyFont="1" applyFill="1" applyBorder="1" applyAlignment="1" applyProtection="1">
      <alignment horizontal="center"/>
      <protection locked="0"/>
    </xf>
    <xf numFmtId="43" fontId="2" fillId="34" borderId="12" xfId="65" applyFont="1" applyFill="1" applyBorder="1" applyAlignment="1" applyProtection="1">
      <alignment horizontal="center"/>
      <protection locked="0"/>
    </xf>
    <xf numFmtId="43" fontId="2" fillId="0" borderId="13" xfId="65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102" fillId="0" borderId="0" xfId="0" applyFont="1" applyFill="1" applyBorder="1" applyAlignment="1" applyProtection="1">
      <alignment/>
      <protection/>
    </xf>
    <xf numFmtId="37" fontId="10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43" fontId="2" fillId="34" borderId="12" xfId="65" applyFont="1" applyFill="1" applyBorder="1" applyAlignment="1" applyProtection="1">
      <alignment/>
      <protection locked="0"/>
    </xf>
    <xf numFmtId="43" fontId="2" fillId="34" borderId="13" xfId="65" applyFont="1" applyFill="1" applyBorder="1" applyAlignment="1" applyProtection="1">
      <alignment/>
      <protection locked="0"/>
    </xf>
    <xf numFmtId="43" fontId="2" fillId="34" borderId="16" xfId="65" applyFont="1" applyFill="1" applyBorder="1" applyAlignment="1" applyProtection="1">
      <alignment/>
      <protection locked="0"/>
    </xf>
    <xf numFmtId="43" fontId="2" fillId="34" borderId="20" xfId="65" applyFont="1" applyFill="1" applyBorder="1" applyAlignment="1" applyProtection="1">
      <alignment/>
      <protection locked="0"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3" fontId="2" fillId="0" borderId="12" xfId="65" applyFont="1" applyFill="1" applyBorder="1" applyAlignment="1" applyProtection="1">
      <alignment/>
      <protection/>
    </xf>
    <xf numFmtId="43" fontId="2" fillId="34" borderId="18" xfId="65" applyFont="1" applyFill="1" applyBorder="1" applyAlignment="1" applyProtection="1">
      <alignment/>
      <protection locked="0"/>
    </xf>
    <xf numFmtId="43" fontId="2" fillId="34" borderId="13" xfId="65" applyNumberFormat="1" applyFont="1" applyFill="1" applyBorder="1" applyAlignment="1" applyProtection="1">
      <alignment/>
      <protection locked="0"/>
    </xf>
    <xf numFmtId="43" fontId="2" fillId="34" borderId="18" xfId="65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43" fontId="2" fillId="0" borderId="10" xfId="65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9" fontId="2" fillId="0" borderId="18" xfId="0" applyNumberFormat="1" applyFont="1" applyFill="1" applyBorder="1" applyAlignment="1" applyProtection="1">
      <alignment horizontal="center"/>
      <protection/>
    </xf>
    <xf numFmtId="43" fontId="2" fillId="34" borderId="19" xfId="65" applyFont="1" applyFill="1" applyBorder="1" applyAlignment="1" applyProtection="1">
      <alignment/>
      <protection locked="0"/>
    </xf>
    <xf numFmtId="9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37" fontId="4" fillId="33" borderId="22" xfId="0" applyNumberFormat="1" applyFont="1" applyFill="1" applyBorder="1" applyAlignment="1" applyProtection="1">
      <alignment horizontal="center" vertical="center"/>
      <protection/>
    </xf>
    <xf numFmtId="43" fontId="2" fillId="34" borderId="17" xfId="65" applyFont="1" applyFill="1" applyBorder="1" applyAlignment="1" applyProtection="1">
      <alignment/>
      <protection locked="0"/>
    </xf>
    <xf numFmtId="43" fontId="2" fillId="0" borderId="18" xfId="65" applyFont="1" applyFill="1" applyBorder="1" applyAlignment="1" applyProtection="1">
      <alignment/>
      <protection/>
    </xf>
    <xf numFmtId="43" fontId="2" fillId="34" borderId="10" xfId="65" applyFont="1" applyFill="1" applyBorder="1" applyAlignment="1" applyProtection="1">
      <alignment/>
      <protection locked="0"/>
    </xf>
    <xf numFmtId="10" fontId="2" fillId="34" borderId="22" xfId="53" applyNumberFormat="1" applyFont="1" applyFill="1" applyBorder="1" applyAlignment="1" applyProtection="1">
      <alignment/>
      <protection locked="0"/>
    </xf>
    <xf numFmtId="9" fontId="2" fillId="0" borderId="11" xfId="0" applyNumberFormat="1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4" fillId="33" borderId="20" xfId="0" applyFont="1" applyFill="1" applyBorder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justify" vertical="top" wrapText="1"/>
      <protection/>
    </xf>
    <xf numFmtId="0" fontId="2" fillId="0" borderId="12" xfId="0" applyFont="1" applyFill="1" applyBorder="1" applyAlignment="1" applyProtection="1">
      <alignment horizontal="justify" vertical="top" wrapText="1"/>
      <protection/>
    </xf>
    <xf numFmtId="0" fontId="2" fillId="0" borderId="17" xfId="0" applyFont="1" applyFill="1" applyBorder="1" applyAlignment="1" applyProtection="1">
      <alignment horizontal="justify" vertical="top" wrapText="1"/>
      <protection/>
    </xf>
    <xf numFmtId="0" fontId="2" fillId="0" borderId="18" xfId="0" applyFont="1" applyFill="1" applyBorder="1" applyAlignment="1" applyProtection="1">
      <alignment horizontal="justify" vertical="top" wrapText="1"/>
      <protection/>
    </xf>
    <xf numFmtId="0" fontId="2" fillId="0" borderId="19" xfId="0" applyFont="1" applyFill="1" applyBorder="1" applyAlignment="1" applyProtection="1">
      <alignment horizontal="justify" vertical="top" wrapText="1"/>
      <protection/>
    </xf>
    <xf numFmtId="0" fontId="4" fillId="33" borderId="15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43" fontId="2" fillId="34" borderId="13" xfId="65" applyNumberFormat="1" applyFont="1" applyFill="1" applyBorder="1" applyAlignment="1" applyProtection="1">
      <alignment horizontal="right" vertical="top" wrapText="1"/>
      <protection locked="0"/>
    </xf>
    <xf numFmtId="43" fontId="2" fillId="0" borderId="23" xfId="65" applyFont="1" applyFill="1" applyBorder="1" applyAlignment="1" applyProtection="1">
      <alignment horizontal="right" vertical="top" wrapText="1"/>
      <protection/>
    </xf>
    <xf numFmtId="0" fontId="2" fillId="0" borderId="16" xfId="0" applyFont="1" applyFill="1" applyBorder="1" applyAlignment="1" applyProtection="1">
      <alignment horizontal="justify" vertical="top" wrapText="1"/>
      <protection/>
    </xf>
    <xf numFmtId="43" fontId="2" fillId="34" borderId="23" xfId="65" applyNumberFormat="1" applyFont="1" applyFill="1" applyBorder="1" applyAlignment="1" applyProtection="1">
      <alignment horizontal="right" vertical="top" wrapText="1"/>
      <protection locked="0"/>
    </xf>
    <xf numFmtId="10" fontId="2" fillId="0" borderId="23" xfId="53" applyNumberFormat="1" applyFont="1" applyFill="1" applyBorder="1" applyAlignment="1" applyProtection="1">
      <alignment horizontal="right" vertical="top" wrapText="1"/>
      <protection/>
    </xf>
    <xf numFmtId="0" fontId="103" fillId="0" borderId="0" xfId="0" applyFont="1" applyFill="1" applyAlignment="1" applyProtection="1">
      <alignment/>
      <protection/>
    </xf>
    <xf numFmtId="0" fontId="104" fillId="0" borderId="0" xfId="0" applyFont="1" applyFill="1" applyAlignment="1" applyProtection="1">
      <alignment horizontal="justify" wrapText="1"/>
      <protection/>
    </xf>
    <xf numFmtId="0" fontId="4" fillId="33" borderId="24" xfId="0" applyFont="1" applyFill="1" applyBorder="1" applyAlignment="1" applyProtection="1">
      <alignment horizontal="left" vertical="top"/>
      <protection/>
    </xf>
    <xf numFmtId="175" fontId="4" fillId="33" borderId="24" xfId="0" applyNumberFormat="1" applyFont="1" applyFill="1" applyBorder="1" applyAlignment="1" applyProtection="1">
      <alignment vertical="center" wrapText="1"/>
      <protection/>
    </xf>
    <xf numFmtId="0" fontId="104" fillId="0" borderId="0" xfId="0" applyFont="1" applyFill="1" applyBorder="1" applyAlignment="1" applyProtection="1">
      <alignment horizontal="justify" wrapText="1"/>
      <protection/>
    </xf>
    <xf numFmtId="0" fontId="103" fillId="0" borderId="0" xfId="0" applyFont="1" applyFill="1" applyBorder="1" applyAlignment="1" applyProtection="1">
      <alignment/>
      <protection/>
    </xf>
    <xf numFmtId="0" fontId="104" fillId="0" borderId="0" xfId="0" applyFont="1" applyFill="1" applyBorder="1" applyAlignment="1" applyProtection="1">
      <alignment horizontal="center" vertical="top" wrapText="1"/>
      <protection/>
    </xf>
    <xf numFmtId="43" fontId="2" fillId="34" borderId="18" xfId="65" applyNumberFormat="1" applyFont="1" applyFill="1" applyBorder="1" applyAlignment="1" applyProtection="1">
      <alignment horizontal="right" vertical="top" wrapText="1"/>
      <protection locked="0"/>
    </xf>
    <xf numFmtId="0" fontId="104" fillId="0" borderId="0" xfId="0" applyFont="1" applyFill="1" applyBorder="1" applyAlignment="1" applyProtection="1">
      <alignment vertical="top" wrapText="1"/>
      <protection/>
    </xf>
    <xf numFmtId="43" fontId="2" fillId="34" borderId="22" xfId="65" applyNumberFormat="1" applyFont="1" applyFill="1" applyBorder="1" applyAlignment="1" applyProtection="1">
      <alignment horizontal="right" vertical="top" wrapText="1"/>
      <protection locked="0"/>
    </xf>
    <xf numFmtId="43" fontId="104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50" applyProtection="1">
      <alignment/>
      <protection/>
    </xf>
    <xf numFmtId="0" fontId="65" fillId="0" borderId="0" xfId="50" applyNumberFormat="1" applyFont="1" applyFill="1" applyAlignment="1" applyProtection="1">
      <alignment/>
      <protection/>
    </xf>
    <xf numFmtId="0" fontId="15" fillId="0" borderId="0" xfId="50" applyFont="1" applyFill="1" applyAlignment="1" applyProtection="1">
      <alignment horizontal="center"/>
      <protection/>
    </xf>
    <xf numFmtId="0" fontId="66" fillId="0" borderId="0" xfId="50" applyFont="1" applyProtection="1">
      <alignment/>
      <protection/>
    </xf>
    <xf numFmtId="0" fontId="15" fillId="0" borderId="0" xfId="50" applyFont="1" applyFill="1" applyAlignment="1" applyProtection="1">
      <alignment/>
      <protection/>
    </xf>
    <xf numFmtId="0" fontId="15" fillId="35" borderId="0" xfId="50" applyFont="1" applyFill="1" applyProtection="1">
      <alignment/>
      <protection/>
    </xf>
    <xf numFmtId="175" fontId="15" fillId="0" borderId="0" xfId="50" applyNumberFormat="1" applyFont="1" applyFill="1" applyAlignment="1" applyProtection="1">
      <alignment horizontal="right"/>
      <protection/>
    </xf>
    <xf numFmtId="0" fontId="15" fillId="0" borderId="0" xfId="50" applyFont="1" applyAlignment="1" applyProtection="1">
      <alignment horizontal="right"/>
      <protection/>
    </xf>
    <xf numFmtId="0" fontId="67" fillId="33" borderId="15" xfId="50" applyFont="1" applyFill="1" applyBorder="1" applyAlignment="1" applyProtection="1">
      <alignment horizontal="center" vertical="center" wrapText="1"/>
      <protection/>
    </xf>
    <xf numFmtId="0" fontId="67" fillId="34" borderId="12" xfId="50" applyFont="1" applyFill="1" applyBorder="1" applyAlignment="1" applyProtection="1">
      <alignment horizontal="center" vertical="center"/>
      <protection locked="0"/>
    </xf>
    <xf numFmtId="0" fontId="36" fillId="33" borderId="17" xfId="50" applyFont="1" applyFill="1" applyBorder="1" applyAlignment="1" applyProtection="1">
      <alignment horizontal="center" vertical="center"/>
      <protection/>
    </xf>
    <xf numFmtId="0" fontId="36" fillId="33" borderId="24" xfId="50" applyFont="1" applyFill="1" applyBorder="1" applyAlignment="1" applyProtection="1">
      <alignment horizontal="center" vertical="center"/>
      <protection/>
    </xf>
    <xf numFmtId="0" fontId="15" fillId="33" borderId="0" xfId="50" applyFont="1" applyFill="1" applyBorder="1" applyAlignment="1" applyProtection="1">
      <alignment horizontal="center"/>
      <protection/>
    </xf>
    <xf numFmtId="0" fontId="36" fillId="33" borderId="19" xfId="50" applyFont="1" applyFill="1" applyBorder="1" applyAlignment="1" applyProtection="1">
      <alignment horizontal="center"/>
      <protection/>
    </xf>
    <xf numFmtId="0" fontId="36" fillId="33" borderId="14" xfId="50" applyFont="1" applyFill="1" applyBorder="1" applyAlignment="1" applyProtection="1">
      <alignment horizontal="center"/>
      <protection/>
    </xf>
    <xf numFmtId="0" fontId="15" fillId="0" borderId="24" xfId="50" applyFont="1" applyFill="1" applyBorder="1" applyAlignment="1" applyProtection="1">
      <alignment/>
      <protection/>
    </xf>
    <xf numFmtId="43" fontId="15" fillId="0" borderId="21" xfId="65" applyFont="1" applyFill="1" applyBorder="1" applyAlignment="1" applyProtection="1">
      <alignment horizontal="center"/>
      <protection/>
    </xf>
    <xf numFmtId="43" fontId="15" fillId="0" borderId="18" xfId="65" applyFont="1" applyFill="1" applyBorder="1" applyAlignment="1" applyProtection="1">
      <alignment horizontal="center"/>
      <protection/>
    </xf>
    <xf numFmtId="0" fontId="15" fillId="0" borderId="0" xfId="50" applyFont="1" applyFill="1" applyBorder="1" applyAlignment="1" applyProtection="1">
      <alignment/>
      <protection/>
    </xf>
    <xf numFmtId="43" fontId="15" fillId="34" borderId="13" xfId="65" applyFont="1" applyFill="1" applyBorder="1" applyAlignment="1" applyProtection="1">
      <alignment horizontal="center"/>
      <protection locked="0"/>
    </xf>
    <xf numFmtId="43" fontId="15" fillId="34" borderId="12" xfId="65" applyFont="1" applyFill="1" applyBorder="1" applyAlignment="1" applyProtection="1">
      <alignment horizontal="center"/>
      <protection locked="0"/>
    </xf>
    <xf numFmtId="43" fontId="15" fillId="34" borderId="18" xfId="65" applyFont="1" applyFill="1" applyBorder="1" applyAlignment="1" applyProtection="1">
      <alignment horizontal="center"/>
      <protection locked="0"/>
    </xf>
    <xf numFmtId="43" fontId="15" fillId="0" borderId="13" xfId="65" applyFont="1" applyFill="1" applyBorder="1" applyAlignment="1" applyProtection="1">
      <alignment horizontal="center"/>
      <protection/>
    </xf>
    <xf numFmtId="43" fontId="0" fillId="34" borderId="13" xfId="65" applyFont="1" applyFill="1" applyBorder="1" applyAlignment="1" applyProtection="1">
      <alignment/>
      <protection locked="0"/>
    </xf>
    <xf numFmtId="43" fontId="0" fillId="34" borderId="20" xfId="65" applyFont="1" applyFill="1" applyBorder="1" applyAlignment="1" applyProtection="1">
      <alignment/>
      <protection locked="0"/>
    </xf>
    <xf numFmtId="0" fontId="36" fillId="35" borderId="11" xfId="50" applyFont="1" applyFill="1" applyBorder="1" applyAlignment="1" applyProtection="1">
      <alignment/>
      <protection/>
    </xf>
    <xf numFmtId="43" fontId="15" fillId="0" borderId="23" xfId="50" applyNumberFormat="1" applyFont="1" applyFill="1" applyBorder="1" applyAlignment="1" applyProtection="1">
      <alignment horizontal="center"/>
      <protection/>
    </xf>
    <xf numFmtId="43" fontId="15" fillId="0" borderId="22" xfId="50" applyNumberFormat="1" applyFont="1" applyFill="1" applyBorder="1" applyAlignment="1" applyProtection="1">
      <alignment horizontal="center"/>
      <protection/>
    </xf>
    <xf numFmtId="43" fontId="15" fillId="0" borderId="22" xfId="65" applyFont="1" applyFill="1" applyBorder="1" applyAlignment="1" applyProtection="1">
      <alignment horizontal="center"/>
      <protection/>
    </xf>
    <xf numFmtId="0" fontId="36" fillId="33" borderId="17" xfId="50" applyFont="1" applyFill="1" applyBorder="1" applyAlignment="1" applyProtection="1">
      <alignment horizontal="center"/>
      <protection/>
    </xf>
    <xf numFmtId="0" fontId="36" fillId="33" borderId="24" xfId="50" applyFont="1" applyFill="1" applyBorder="1" applyAlignment="1" applyProtection="1">
      <alignment horizontal="center"/>
      <protection/>
    </xf>
    <xf numFmtId="0" fontId="15" fillId="35" borderId="0" xfId="50" applyFont="1" applyFill="1" applyBorder="1" applyAlignment="1" applyProtection="1">
      <alignment horizontal="left"/>
      <protection/>
    </xf>
    <xf numFmtId="0" fontId="15" fillId="35" borderId="24" xfId="50" applyFont="1" applyFill="1" applyBorder="1" applyAlignment="1" applyProtection="1">
      <alignment horizontal="left"/>
      <protection/>
    </xf>
    <xf numFmtId="0" fontId="15" fillId="35" borderId="12" xfId="50" applyFont="1" applyFill="1" applyBorder="1" applyAlignment="1" applyProtection="1">
      <alignment horizontal="left"/>
      <protection/>
    </xf>
    <xf numFmtId="43" fontId="15" fillId="34" borderId="0" xfId="65" applyFont="1" applyFill="1" applyBorder="1" applyAlignment="1" applyProtection="1">
      <alignment horizontal="center"/>
      <protection locked="0"/>
    </xf>
    <xf numFmtId="43" fontId="0" fillId="34" borderId="21" xfId="65" applyFont="1" applyFill="1" applyBorder="1" applyAlignment="1" applyProtection="1">
      <alignment/>
      <protection locked="0"/>
    </xf>
    <xf numFmtId="0" fontId="15" fillId="35" borderId="0" xfId="50" applyFont="1" applyFill="1" applyBorder="1" applyProtection="1">
      <alignment/>
      <protection/>
    </xf>
    <xf numFmtId="43" fontId="15" fillId="34" borderId="13" xfId="65" applyFont="1" applyFill="1" applyBorder="1" applyAlignment="1" applyProtection="1">
      <alignment/>
      <protection locked="0"/>
    </xf>
    <xf numFmtId="0" fontId="36" fillId="35" borderId="11" xfId="50" applyFont="1" applyFill="1" applyBorder="1" applyAlignment="1" applyProtection="1">
      <alignment wrapText="1"/>
      <protection/>
    </xf>
    <xf numFmtId="0" fontId="15" fillId="0" borderId="14" xfId="50" applyFont="1" applyFill="1" applyBorder="1" applyAlignment="1" applyProtection="1">
      <alignment/>
      <protection/>
    </xf>
    <xf numFmtId="0" fontId="15" fillId="0" borderId="11" xfId="50" applyFont="1" applyFill="1" applyBorder="1" applyAlignment="1" applyProtection="1">
      <alignment horizontal="center"/>
      <protection/>
    </xf>
    <xf numFmtId="43" fontId="15" fillId="0" borderId="23" xfId="65" applyFont="1" applyFill="1" applyBorder="1" applyAlignment="1" applyProtection="1">
      <alignment/>
      <protection/>
    </xf>
    <xf numFmtId="0" fontId="36" fillId="35" borderId="11" xfId="50" applyFont="1" applyFill="1" applyBorder="1" applyAlignment="1" applyProtection="1">
      <alignment horizontal="left" vertical="center" wrapText="1"/>
      <protection/>
    </xf>
    <xf numFmtId="0" fontId="36" fillId="35" borderId="11" xfId="50" applyFont="1" applyFill="1" applyBorder="1" applyAlignment="1" applyProtection="1">
      <alignment horizontal="center" vertical="center" wrapText="1"/>
      <protection/>
    </xf>
    <xf numFmtId="43" fontId="15" fillId="0" borderId="20" xfId="50" applyNumberFormat="1" applyFont="1" applyFill="1" applyBorder="1" applyAlignment="1" applyProtection="1">
      <alignment horizontal="center" vertical="center"/>
      <protection/>
    </xf>
    <xf numFmtId="43" fontId="15" fillId="0" borderId="23" xfId="5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50" applyFont="1" applyFill="1" applyBorder="1" applyAlignment="1" applyProtection="1">
      <alignment/>
      <protection/>
    </xf>
    <xf numFmtId="0" fontId="35" fillId="0" borderId="0" xfId="50" applyFont="1" applyFill="1" applyBorder="1" applyAlignment="1" applyProtection="1">
      <alignment/>
      <protection/>
    </xf>
    <xf numFmtId="0" fontId="105" fillId="0" borderId="0" xfId="0" applyFont="1" applyFill="1" applyAlignment="1" applyProtection="1">
      <alignment/>
      <protection/>
    </xf>
    <xf numFmtId="0" fontId="6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66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75" fontId="36" fillId="0" borderId="0" xfId="0" applyNumberFormat="1" applyFont="1" applyFill="1" applyAlignment="1" applyProtection="1">
      <alignment horizontal="right"/>
      <protection/>
    </xf>
    <xf numFmtId="0" fontId="15" fillId="33" borderId="24" xfId="0" applyFont="1" applyFill="1" applyBorder="1" applyAlignment="1" applyProtection="1">
      <alignment/>
      <protection/>
    </xf>
    <xf numFmtId="0" fontId="67" fillId="33" borderId="0" xfId="0" applyFont="1" applyFill="1" applyBorder="1" applyAlignment="1" applyProtection="1">
      <alignment horizontal="center"/>
      <protection/>
    </xf>
    <xf numFmtId="0" fontId="36" fillId="33" borderId="24" xfId="0" applyFont="1" applyFill="1" applyBorder="1" applyAlignment="1" applyProtection="1">
      <alignment horizontal="center"/>
      <protection/>
    </xf>
    <xf numFmtId="0" fontId="15" fillId="33" borderId="14" xfId="0" applyFont="1" applyFill="1" applyBorder="1" applyAlignment="1" applyProtection="1">
      <alignment/>
      <protection/>
    </xf>
    <xf numFmtId="0" fontId="36" fillId="33" borderId="20" xfId="0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wrapText="1"/>
      <protection/>
    </xf>
    <xf numFmtId="43" fontId="15" fillId="0" borderId="18" xfId="65" applyFont="1" applyFill="1" applyBorder="1" applyAlignment="1" applyProtection="1">
      <alignment/>
      <protection/>
    </xf>
    <xf numFmtId="0" fontId="15" fillId="35" borderId="0" xfId="0" applyFont="1" applyFill="1" applyAlignment="1" applyProtection="1">
      <alignment wrapText="1"/>
      <protection/>
    </xf>
    <xf numFmtId="43" fontId="15" fillId="34" borderId="18" xfId="65" applyFont="1" applyFill="1" applyBorder="1" applyAlignment="1" applyProtection="1">
      <alignment wrapText="1"/>
      <protection locked="0"/>
    </xf>
    <xf numFmtId="43" fontId="15" fillId="34" borderId="18" xfId="65" applyFont="1" applyFill="1" applyBorder="1" applyAlignment="1" applyProtection="1">
      <alignment/>
      <protection locked="0"/>
    </xf>
    <xf numFmtId="0" fontId="36" fillId="0" borderId="11" xfId="0" applyFont="1" applyFill="1" applyBorder="1" applyAlignment="1" applyProtection="1">
      <alignment wrapText="1"/>
      <protection/>
    </xf>
    <xf numFmtId="43" fontId="36" fillId="0" borderId="22" xfId="65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15" fillId="35" borderId="0" xfId="0" applyFont="1" applyFill="1" applyBorder="1" applyAlignment="1" applyProtection="1">
      <alignment/>
      <protection/>
    </xf>
    <xf numFmtId="43" fontId="15" fillId="0" borderId="21" xfId="65" applyFont="1" applyFill="1" applyBorder="1" applyAlignment="1" applyProtection="1">
      <alignment/>
      <protection/>
    </xf>
    <xf numFmtId="43" fontId="36" fillId="34" borderId="13" xfId="65" applyFont="1" applyFill="1" applyBorder="1" applyAlignment="1" applyProtection="1">
      <alignment/>
      <protection locked="0"/>
    </xf>
    <xf numFmtId="0" fontId="15" fillId="35" borderId="0" xfId="0" applyFont="1" applyFill="1" applyAlignment="1" applyProtection="1">
      <alignment/>
      <protection/>
    </xf>
    <xf numFmtId="0" fontId="15" fillId="35" borderId="14" xfId="0" applyFont="1" applyFill="1" applyBorder="1" applyAlignment="1" applyProtection="1">
      <alignment/>
      <protection/>
    </xf>
    <xf numFmtId="43" fontId="36" fillId="34" borderId="20" xfId="65" applyFont="1" applyFill="1" applyBorder="1" applyAlignment="1" applyProtection="1">
      <alignment/>
      <protection locked="0"/>
    </xf>
    <xf numFmtId="43" fontId="15" fillId="34" borderId="20" xfId="65" applyFont="1" applyFill="1" applyBorder="1" applyAlignment="1" applyProtection="1">
      <alignment/>
      <protection locked="0"/>
    </xf>
    <xf numFmtId="0" fontId="36" fillId="0" borderId="11" xfId="0" applyFont="1" applyFill="1" applyBorder="1" applyAlignment="1" applyProtection="1">
      <alignment/>
      <protection/>
    </xf>
    <xf numFmtId="43" fontId="36" fillId="0" borderId="22" xfId="65" applyFont="1" applyFill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6" fillId="33" borderId="17" xfId="0" applyFont="1" applyFill="1" applyBorder="1" applyAlignment="1" applyProtection="1">
      <alignment horizontal="center" vertical="center"/>
      <protection/>
    </xf>
    <xf numFmtId="0" fontId="36" fillId="33" borderId="24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center"/>
      <protection/>
    </xf>
    <xf numFmtId="0" fontId="36" fillId="33" borderId="20" xfId="0" applyFont="1" applyFill="1" applyBorder="1" applyAlignment="1" applyProtection="1">
      <alignment horizontal="center" vertical="center"/>
      <protection/>
    </xf>
    <xf numFmtId="0" fontId="36" fillId="33" borderId="19" xfId="0" applyFont="1" applyFill="1" applyBorder="1" applyAlignment="1" applyProtection="1">
      <alignment horizontal="center" vertical="center"/>
      <protection/>
    </xf>
    <xf numFmtId="0" fontId="36" fillId="33" borderId="14" xfId="0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/>
      <protection/>
    </xf>
    <xf numFmtId="43" fontId="15" fillId="0" borderId="17" xfId="65" applyFont="1" applyFill="1" applyBorder="1" applyAlignment="1" applyProtection="1">
      <alignment/>
      <protection/>
    </xf>
    <xf numFmtId="10" fontId="9" fillId="0" borderId="17" xfId="53" applyNumberFormat="1" applyFont="1" applyFill="1" applyBorder="1" applyAlignment="1" applyProtection="1">
      <alignment/>
      <protection/>
    </xf>
    <xf numFmtId="43" fontId="15" fillId="0" borderId="15" xfId="65" applyFont="1" applyFill="1" applyBorder="1" applyAlignment="1" applyProtection="1">
      <alignment/>
      <protection/>
    </xf>
    <xf numFmtId="10" fontId="9" fillId="0" borderId="0" xfId="53" applyNumberFormat="1" applyFont="1" applyFill="1" applyBorder="1" applyAlignment="1" applyProtection="1">
      <alignment/>
      <protection/>
    </xf>
    <xf numFmtId="10" fontId="9" fillId="0" borderId="18" xfId="53" applyNumberFormat="1" applyFont="1" applyFill="1" applyBorder="1" applyAlignment="1" applyProtection="1">
      <alignment/>
      <protection/>
    </xf>
    <xf numFmtId="43" fontId="2" fillId="34" borderId="12" xfId="65" applyFont="1" applyFill="1" applyBorder="1" applyAlignment="1" applyProtection="1">
      <alignment horizontal="left" vertical="top" wrapText="1"/>
      <protection locked="0"/>
    </xf>
    <xf numFmtId="43" fontId="15" fillId="34" borderId="12" xfId="65" applyFont="1" applyFill="1" applyBorder="1" applyAlignment="1" applyProtection="1">
      <alignment/>
      <protection locked="0"/>
    </xf>
    <xf numFmtId="43" fontId="15" fillId="0" borderId="12" xfId="65" applyFont="1" applyFill="1" applyBorder="1" applyAlignment="1" applyProtection="1">
      <alignment/>
      <protection/>
    </xf>
    <xf numFmtId="43" fontId="15" fillId="0" borderId="13" xfId="65" applyFont="1" applyFill="1" applyBorder="1" applyAlignment="1" applyProtection="1">
      <alignment/>
      <protection/>
    </xf>
    <xf numFmtId="43" fontId="10" fillId="34" borderId="13" xfId="65" applyFont="1" applyFill="1" applyBorder="1" applyAlignment="1" applyProtection="1">
      <alignment/>
      <protection locked="0"/>
    </xf>
    <xf numFmtId="10" fontId="9" fillId="0" borderId="19" xfId="53" applyNumberFormat="1" applyFont="1" applyFill="1" applyBorder="1" applyAlignment="1" applyProtection="1">
      <alignment/>
      <protection/>
    </xf>
    <xf numFmtId="43" fontId="10" fillId="34" borderId="20" xfId="65" applyFont="1" applyFill="1" applyBorder="1" applyAlignment="1" applyProtection="1">
      <alignment/>
      <protection locked="0"/>
    </xf>
    <xf numFmtId="0" fontId="36" fillId="35" borderId="11" xfId="0" applyFont="1" applyFill="1" applyBorder="1" applyAlignment="1" applyProtection="1">
      <alignment/>
      <protection/>
    </xf>
    <xf numFmtId="43" fontId="15" fillId="0" borderId="22" xfId="65" applyFont="1" applyFill="1" applyBorder="1" applyAlignment="1" applyProtection="1">
      <alignment/>
      <protection/>
    </xf>
    <xf numFmtId="10" fontId="9" fillId="0" borderId="22" xfId="53" applyNumberFormat="1" applyFont="1" applyFill="1" applyBorder="1" applyAlignment="1" applyProtection="1">
      <alignment/>
      <protection/>
    </xf>
    <xf numFmtId="0" fontId="36" fillId="33" borderId="0" xfId="0" applyFont="1" applyFill="1" applyBorder="1" applyAlignment="1" applyProtection="1">
      <alignment horizontal="center" vertical="center"/>
      <protection/>
    </xf>
    <xf numFmtId="0" fontId="15" fillId="35" borderId="24" xfId="0" applyFont="1" applyFill="1" applyBorder="1" applyAlignment="1" applyProtection="1">
      <alignment horizontal="left"/>
      <protection/>
    </xf>
    <xf numFmtId="43" fontId="15" fillId="34" borderId="17" xfId="65" applyFont="1" applyFill="1" applyBorder="1" applyAlignment="1" applyProtection="1">
      <alignment horizontal="left"/>
      <protection locked="0"/>
    </xf>
    <xf numFmtId="43" fontId="15" fillId="34" borderId="15" xfId="65" applyFont="1" applyFill="1" applyBorder="1" applyAlignment="1" applyProtection="1">
      <alignment horizontal="left"/>
      <protection locked="0"/>
    </xf>
    <xf numFmtId="0" fontId="15" fillId="35" borderId="0" xfId="0" applyFont="1" applyFill="1" applyBorder="1" applyAlignment="1" applyProtection="1">
      <alignment horizontal="left"/>
      <protection/>
    </xf>
    <xf numFmtId="43" fontId="15" fillId="34" borderId="18" xfId="65" applyFont="1" applyFill="1" applyBorder="1" applyAlignment="1" applyProtection="1">
      <alignment horizontal="left"/>
      <protection locked="0"/>
    </xf>
    <xf numFmtId="43" fontId="15" fillId="34" borderId="12" xfId="65" applyFont="1" applyFill="1" applyBorder="1" applyAlignment="1" applyProtection="1">
      <alignment horizontal="left"/>
      <protection locked="0"/>
    </xf>
    <xf numFmtId="43" fontId="15" fillId="35" borderId="18" xfId="65" applyFont="1" applyFill="1" applyBorder="1" applyAlignment="1" applyProtection="1">
      <alignment horizontal="left"/>
      <protection/>
    </xf>
    <xf numFmtId="43" fontId="15" fillId="35" borderId="13" xfId="65" applyFont="1" applyFill="1" applyBorder="1" applyAlignment="1" applyProtection="1">
      <alignment horizontal="left"/>
      <protection/>
    </xf>
    <xf numFmtId="0" fontId="105" fillId="0" borderId="0" xfId="0" applyFont="1" applyFill="1" applyAlignment="1" applyProtection="1">
      <alignment horizontal="right" vertical="center"/>
      <protection/>
    </xf>
    <xf numFmtId="0" fontId="105" fillId="0" borderId="0" xfId="0" applyFont="1" applyFill="1" applyAlignment="1" applyProtection="1">
      <alignment horizontal="right"/>
      <protection/>
    </xf>
    <xf numFmtId="43" fontId="105" fillId="0" borderId="0" xfId="0" applyNumberFormat="1" applyFont="1" applyFill="1" applyAlignment="1" applyProtection="1">
      <alignment/>
      <protection/>
    </xf>
    <xf numFmtId="0" fontId="105" fillId="0" borderId="0" xfId="0" applyNumberFormat="1" applyFont="1" applyFill="1" applyAlignment="1" applyProtection="1">
      <alignment/>
      <protection/>
    </xf>
    <xf numFmtId="0" fontId="15" fillId="35" borderId="0" xfId="0" applyFont="1" applyFill="1" applyAlignment="1" applyProtection="1">
      <alignment/>
      <protection/>
    </xf>
    <xf numFmtId="0" fontId="15" fillId="35" borderId="12" xfId="0" applyFont="1" applyFill="1" applyBorder="1" applyAlignment="1" applyProtection="1">
      <alignment/>
      <protection/>
    </xf>
    <xf numFmtId="43" fontId="15" fillId="34" borderId="0" xfId="65" applyFont="1" applyFill="1" applyAlignment="1" applyProtection="1">
      <alignment/>
      <protection locked="0"/>
    </xf>
    <xf numFmtId="0" fontId="15" fillId="35" borderId="12" xfId="0" applyFont="1" applyFill="1" applyBorder="1" applyAlignment="1" applyProtection="1">
      <alignment horizontal="left"/>
      <protection/>
    </xf>
    <xf numFmtId="0" fontId="15" fillId="35" borderId="0" xfId="0" applyFont="1" applyFill="1" applyBorder="1" applyAlignment="1" applyProtection="1">
      <alignment horizontal="left" wrapText="1"/>
      <protection/>
    </xf>
    <xf numFmtId="43" fontId="15" fillId="34" borderId="13" xfId="65" applyFont="1" applyFill="1" applyBorder="1" applyAlignment="1" applyProtection="1">
      <alignment horizontal="center" vertical="center"/>
      <protection locked="0"/>
    </xf>
    <xf numFmtId="43" fontId="15" fillId="34" borderId="0" xfId="65" applyFont="1" applyFill="1" applyBorder="1" applyAlignment="1" applyProtection="1">
      <alignment horizontal="center" vertical="center"/>
      <protection locked="0"/>
    </xf>
    <xf numFmtId="0" fontId="15" fillId="35" borderId="12" xfId="0" applyFont="1" applyFill="1" applyBorder="1" applyAlignment="1" applyProtection="1">
      <alignment horizontal="left" wrapText="1"/>
      <protection/>
    </xf>
    <xf numFmtId="0" fontId="15" fillId="35" borderId="14" xfId="0" applyFont="1" applyFill="1" applyBorder="1" applyAlignment="1" applyProtection="1">
      <alignment horizontal="left" wrapText="1"/>
      <protection/>
    </xf>
    <xf numFmtId="0" fontId="36" fillId="35" borderId="11" xfId="0" applyFont="1" applyFill="1" applyBorder="1" applyAlignment="1" applyProtection="1">
      <alignment wrapText="1"/>
      <protection/>
    </xf>
    <xf numFmtId="0" fontId="36" fillId="35" borderId="0" xfId="0" applyFont="1" applyFill="1" applyBorder="1" applyAlignment="1" applyProtection="1">
      <alignment horizontal="left" vertical="center" wrapText="1"/>
      <protection/>
    </xf>
    <xf numFmtId="43" fontId="36" fillId="35" borderId="23" xfId="65" applyFont="1" applyFill="1" applyBorder="1" applyAlignment="1" applyProtection="1">
      <alignment horizontal="center" vertical="center" wrapText="1"/>
      <protection/>
    </xf>
    <xf numFmtId="0" fontId="15" fillId="36" borderId="20" xfId="0" applyFont="1" applyFill="1" applyBorder="1" applyAlignment="1" applyProtection="1">
      <alignment horizontal="center" vertical="center"/>
      <protection/>
    </xf>
    <xf numFmtId="0" fontId="36" fillId="0" borderId="24" xfId="0" applyFont="1" applyFill="1" applyBorder="1" applyAlignment="1" applyProtection="1">
      <alignment wrapText="1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66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6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left" vertical="center" wrapText="1"/>
      <protection/>
    </xf>
    <xf numFmtId="0" fontId="36" fillId="33" borderId="14" xfId="0" applyFont="1" applyFill="1" applyBorder="1" applyAlignment="1" applyProtection="1">
      <alignment horizontal="center" vertical="center" wrapText="1"/>
      <protection/>
    </xf>
    <xf numFmtId="43" fontId="36" fillId="34" borderId="17" xfId="65" applyFont="1" applyFill="1" applyBorder="1" applyAlignment="1" applyProtection="1">
      <alignment vertical="center" wrapText="1"/>
      <protection locked="0"/>
    </xf>
    <xf numFmtId="43" fontId="36" fillId="34" borderId="15" xfId="65" applyFont="1" applyFill="1" applyBorder="1" applyAlignment="1" applyProtection="1">
      <alignment vertical="center" wrapText="1"/>
      <protection locked="0"/>
    </xf>
    <xf numFmtId="43" fontId="15" fillId="34" borderId="17" xfId="65" applyFont="1" applyFill="1" applyBorder="1" applyAlignment="1" applyProtection="1">
      <alignment/>
      <protection locked="0"/>
    </xf>
    <xf numFmtId="43" fontId="15" fillId="34" borderId="15" xfId="65" applyFont="1" applyFill="1" applyBorder="1" applyAlignment="1" applyProtection="1">
      <alignment/>
      <protection locked="0"/>
    </xf>
    <xf numFmtId="0" fontId="106" fillId="35" borderId="0" xfId="0" applyFont="1" applyFill="1" applyBorder="1" applyAlignment="1" applyProtection="1">
      <alignment horizontal="left" wrapText="1"/>
      <protection locked="0"/>
    </xf>
    <xf numFmtId="0" fontId="106" fillId="35" borderId="12" xfId="0" applyFont="1" applyFill="1" applyBorder="1" applyAlignment="1" applyProtection="1">
      <alignment horizontal="left" wrapText="1"/>
      <protection locked="0"/>
    </xf>
    <xf numFmtId="43" fontId="36" fillId="34" borderId="18" xfId="65" applyFont="1" applyFill="1" applyBorder="1" applyAlignment="1" applyProtection="1">
      <alignment vertical="center" wrapText="1"/>
      <protection locked="0"/>
    </xf>
    <xf numFmtId="43" fontId="36" fillId="34" borderId="12" xfId="65" applyFont="1" applyFill="1" applyBorder="1" applyAlignment="1" applyProtection="1">
      <alignment vertical="center" wrapText="1"/>
      <protection locked="0"/>
    </xf>
    <xf numFmtId="0" fontId="106" fillId="0" borderId="0" xfId="0" applyFont="1" applyFill="1" applyBorder="1" applyAlignment="1" applyProtection="1">
      <alignment horizontal="left" wrapText="1"/>
      <protection locked="0"/>
    </xf>
    <xf numFmtId="43" fontId="36" fillId="0" borderId="19" xfId="65" applyFont="1" applyFill="1" applyBorder="1" applyAlignment="1" applyProtection="1">
      <alignment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15" fillId="0" borderId="14" xfId="0" applyFont="1" applyFill="1" applyBorder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/>
      <protection/>
    </xf>
    <xf numFmtId="0" fontId="106" fillId="35" borderId="24" xfId="0" applyFont="1" applyFill="1" applyBorder="1" applyAlignment="1" applyProtection="1">
      <alignment horizontal="left" vertical="center" wrapText="1"/>
      <protection locked="0"/>
    </xf>
    <xf numFmtId="0" fontId="107" fillId="35" borderId="15" xfId="0" applyFont="1" applyFill="1" applyBorder="1" applyAlignment="1" applyProtection="1">
      <alignment horizontal="center" vertical="center" wrapText="1"/>
      <protection locked="0"/>
    </xf>
    <xf numFmtId="0" fontId="106" fillId="35" borderId="0" xfId="0" applyFont="1" applyFill="1" applyBorder="1" applyAlignment="1" applyProtection="1">
      <alignment horizontal="left" vertical="center" wrapText="1"/>
      <protection locked="0"/>
    </xf>
    <xf numFmtId="0" fontId="107" fillId="35" borderId="12" xfId="0" applyFont="1" applyFill="1" applyBorder="1" applyAlignment="1" applyProtection="1">
      <alignment horizontal="center" vertical="center" wrapText="1"/>
      <protection locked="0"/>
    </xf>
    <xf numFmtId="0" fontId="36" fillId="35" borderId="14" xfId="0" applyFont="1" applyFill="1" applyBorder="1" applyAlignment="1" applyProtection="1">
      <alignment horizontal="left" vertical="center" wrapText="1"/>
      <protection/>
    </xf>
    <xf numFmtId="0" fontId="36" fillId="35" borderId="16" xfId="0" applyFont="1" applyFill="1" applyBorder="1" applyAlignment="1" applyProtection="1">
      <alignment horizontal="center" vertical="center" wrapText="1"/>
      <protection/>
    </xf>
    <xf numFmtId="0" fontId="107" fillId="35" borderId="24" xfId="0" applyFont="1" applyFill="1" applyBorder="1" applyAlignment="1" applyProtection="1">
      <alignment horizontal="center" vertical="center" wrapText="1"/>
      <protection locked="0"/>
    </xf>
    <xf numFmtId="0" fontId="107" fillId="35" borderId="0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/>
      <protection/>
    </xf>
    <xf numFmtId="0" fontId="67" fillId="33" borderId="24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36" fillId="33" borderId="17" xfId="0" applyFont="1" applyFill="1" applyBorder="1" applyAlignment="1" applyProtection="1">
      <alignment horizontal="center"/>
      <protection/>
    </xf>
    <xf numFmtId="43" fontId="10" fillId="34" borderId="21" xfId="65" applyFont="1" applyFill="1" applyBorder="1" applyAlignment="1" applyProtection="1">
      <alignment/>
      <protection locked="0"/>
    </xf>
    <xf numFmtId="43" fontId="15" fillId="34" borderId="19" xfId="65" applyFont="1" applyFill="1" applyBorder="1" applyAlignment="1" applyProtection="1">
      <alignment/>
      <protection locked="0"/>
    </xf>
    <xf numFmtId="43" fontId="36" fillId="36" borderId="22" xfId="65" applyFont="1" applyFill="1" applyBorder="1" applyAlignment="1" applyProtection="1">
      <alignment/>
      <protection/>
    </xf>
    <xf numFmtId="43" fontId="36" fillId="0" borderId="23" xfId="65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0" borderId="0" xfId="50" applyFont="1" applyFill="1" applyBorder="1" applyAlignment="1" applyProtection="1">
      <alignment/>
      <protection/>
    </xf>
    <xf numFmtId="0" fontId="2" fillId="0" borderId="0" xfId="50" applyFont="1" applyFill="1" applyAlignment="1" applyProtection="1">
      <alignment/>
      <protection/>
    </xf>
    <xf numFmtId="0" fontId="3" fillId="0" borderId="0" xfId="50" applyNumberFormat="1" applyFont="1" applyFill="1" applyAlignment="1" applyProtection="1">
      <alignment/>
      <protection/>
    </xf>
    <xf numFmtId="0" fontId="2" fillId="0" borderId="0" xfId="50" applyFont="1" applyFill="1" applyAlignment="1" applyProtection="1">
      <alignment horizontal="left"/>
      <protection/>
    </xf>
    <xf numFmtId="0" fontId="4" fillId="0" borderId="0" xfId="50" applyFont="1" applyFill="1" applyAlignment="1" applyProtection="1">
      <alignment horizontal="left"/>
      <protection/>
    </xf>
    <xf numFmtId="0" fontId="2" fillId="0" borderId="0" xfId="50" applyFont="1" applyFill="1" applyProtection="1">
      <alignment/>
      <protection/>
    </xf>
    <xf numFmtId="175" fontId="2" fillId="0" borderId="0" xfId="50" applyNumberFormat="1" applyFont="1" applyFill="1" applyAlignment="1" applyProtection="1">
      <alignment horizontal="right"/>
      <protection/>
    </xf>
    <xf numFmtId="0" fontId="4" fillId="33" borderId="17" xfId="50" applyFont="1" applyFill="1" applyBorder="1" applyAlignment="1" applyProtection="1">
      <alignment horizontal="center"/>
      <protection/>
    </xf>
    <xf numFmtId="0" fontId="4" fillId="33" borderId="21" xfId="50" applyFont="1" applyFill="1" applyBorder="1" applyAlignment="1" applyProtection="1">
      <alignment horizontal="center"/>
      <protection/>
    </xf>
    <xf numFmtId="0" fontId="4" fillId="33" borderId="19" xfId="50" applyFont="1" applyFill="1" applyBorder="1" applyAlignment="1" applyProtection="1">
      <alignment horizontal="center"/>
      <protection/>
    </xf>
    <xf numFmtId="0" fontId="4" fillId="33" borderId="20" xfId="50" applyFont="1" applyFill="1" applyBorder="1" applyAlignment="1" applyProtection="1">
      <alignment horizontal="center"/>
      <protection/>
    </xf>
    <xf numFmtId="0" fontId="2" fillId="0" borderId="15" xfId="50" applyFont="1" applyFill="1" applyBorder="1" applyAlignment="1" applyProtection="1">
      <alignment/>
      <protection/>
    </xf>
    <xf numFmtId="0" fontId="2" fillId="0" borderId="12" xfId="50" applyFont="1" applyFill="1" applyBorder="1" applyAlignment="1" applyProtection="1">
      <alignment/>
      <protection/>
    </xf>
    <xf numFmtId="0" fontId="2" fillId="0" borderId="11" xfId="50" applyFont="1" applyFill="1" applyBorder="1" applyAlignment="1" applyProtection="1">
      <alignment horizontal="left" indent="1"/>
      <protection/>
    </xf>
    <xf numFmtId="37" fontId="2" fillId="0" borderId="11" xfId="50" applyNumberFormat="1" applyFont="1" applyFill="1" applyBorder="1" applyAlignment="1" applyProtection="1">
      <alignment horizontal="center"/>
      <protection/>
    </xf>
    <xf numFmtId="0" fontId="4" fillId="33" borderId="15" xfId="50" applyFont="1" applyFill="1" applyBorder="1" applyAlignment="1" applyProtection="1">
      <alignment horizontal="center" vertical="center" wrapText="1"/>
      <protection/>
    </xf>
    <xf numFmtId="37" fontId="4" fillId="33" borderId="21" xfId="50" applyNumberFormat="1" applyFont="1" applyFill="1" applyBorder="1" applyAlignment="1" applyProtection="1">
      <alignment horizontal="center"/>
      <protection/>
    </xf>
    <xf numFmtId="0" fontId="4" fillId="33" borderId="17" xfId="50" applyFont="1" applyFill="1" applyBorder="1" applyAlignment="1" applyProtection="1">
      <alignment horizontal="center" vertical="top" wrapText="1"/>
      <protection/>
    </xf>
    <xf numFmtId="37" fontId="4" fillId="33" borderId="17" xfId="50" applyNumberFormat="1" applyFont="1" applyFill="1" applyBorder="1" applyAlignment="1" applyProtection="1">
      <alignment horizontal="center"/>
      <protection/>
    </xf>
    <xf numFmtId="37" fontId="4" fillId="33" borderId="17" xfId="50" applyNumberFormat="1" applyFont="1" applyFill="1" applyBorder="1" applyAlignment="1" applyProtection="1">
      <alignment horizontal="center" vertical="top" wrapText="1"/>
      <protection/>
    </xf>
    <xf numFmtId="37" fontId="4" fillId="33" borderId="15" xfId="50" applyNumberFormat="1" applyFont="1" applyFill="1" applyBorder="1" applyAlignment="1" applyProtection="1">
      <alignment horizontal="center"/>
      <protection/>
    </xf>
    <xf numFmtId="0" fontId="4" fillId="33" borderId="12" xfId="50" applyFont="1" applyFill="1" applyBorder="1" applyAlignment="1" applyProtection="1">
      <alignment horizontal="center" vertical="center" wrapText="1"/>
      <protection/>
    </xf>
    <xf numFmtId="37" fontId="4" fillId="33" borderId="13" xfId="50" applyNumberFormat="1" applyFont="1" applyFill="1" applyBorder="1" applyAlignment="1" applyProtection="1">
      <alignment horizontal="center"/>
      <protection/>
    </xf>
    <xf numFmtId="0" fontId="4" fillId="33" borderId="18" xfId="50" applyFont="1" applyFill="1" applyBorder="1" applyAlignment="1" applyProtection="1">
      <alignment horizontal="center" vertical="top" wrapText="1"/>
      <protection/>
    </xf>
    <xf numFmtId="37" fontId="4" fillId="33" borderId="18" xfId="50" applyNumberFormat="1" applyFont="1" applyFill="1" applyBorder="1" applyAlignment="1" applyProtection="1">
      <alignment horizontal="center"/>
      <protection/>
    </xf>
    <xf numFmtId="37" fontId="4" fillId="33" borderId="18" xfId="50" applyNumberFormat="1" applyFont="1" applyFill="1" applyBorder="1" applyAlignment="1" applyProtection="1">
      <alignment horizontal="center" vertical="top" wrapText="1"/>
      <protection/>
    </xf>
    <xf numFmtId="37" fontId="4" fillId="33" borderId="0" xfId="50" applyNumberFormat="1" applyFont="1" applyFill="1" applyBorder="1" applyAlignment="1" applyProtection="1">
      <alignment horizontal="center"/>
      <protection/>
    </xf>
    <xf numFmtId="0" fontId="4" fillId="33" borderId="13" xfId="50" applyFont="1" applyFill="1" applyBorder="1" applyAlignment="1" applyProtection="1">
      <alignment horizontal="center"/>
      <protection/>
    </xf>
    <xf numFmtId="0" fontId="4" fillId="33" borderId="18" xfId="50" applyFont="1" applyFill="1" applyBorder="1" applyAlignment="1" applyProtection="1">
      <alignment horizontal="center"/>
      <protection/>
    </xf>
    <xf numFmtId="49" fontId="13" fillId="33" borderId="0" xfId="50" applyNumberFormat="1" applyFont="1" applyFill="1" applyBorder="1" applyAlignment="1" applyProtection="1">
      <alignment horizontal="center"/>
      <protection/>
    </xf>
    <xf numFmtId="0" fontId="9" fillId="33" borderId="18" xfId="50" applyFont="1" applyFill="1" applyBorder="1" applyAlignment="1" applyProtection="1">
      <alignment horizontal="center" vertical="top"/>
      <protection/>
    </xf>
    <xf numFmtId="0" fontId="0" fillId="33" borderId="18" xfId="0" applyFill="1" applyBorder="1" applyAlignment="1" applyProtection="1">
      <alignment vertical="top" wrapText="1"/>
      <protection/>
    </xf>
    <xf numFmtId="37" fontId="4" fillId="33" borderId="12" xfId="50" applyNumberFormat="1" applyFont="1" applyFill="1" applyBorder="1" applyAlignment="1" applyProtection="1">
      <alignment horizontal="center"/>
      <protection/>
    </xf>
    <xf numFmtId="0" fontId="4" fillId="33" borderId="16" xfId="50" applyFont="1" applyFill="1" applyBorder="1" applyAlignment="1" applyProtection="1">
      <alignment horizontal="center" vertical="center" wrapText="1"/>
      <protection/>
    </xf>
    <xf numFmtId="37" fontId="4" fillId="33" borderId="20" xfId="50" applyNumberFormat="1" applyFont="1" applyFill="1" applyBorder="1" applyAlignment="1" applyProtection="1">
      <alignment horizontal="center"/>
      <protection/>
    </xf>
    <xf numFmtId="37" fontId="4" fillId="33" borderId="19" xfId="50" applyNumberFormat="1" applyFont="1" applyFill="1" applyBorder="1" applyAlignment="1" applyProtection="1">
      <alignment horizontal="center"/>
      <protection/>
    </xf>
    <xf numFmtId="43" fontId="2" fillId="0" borderId="0" xfId="65" applyFont="1" applyFill="1" applyBorder="1" applyAlignment="1" applyProtection="1">
      <alignment horizontal="left" vertical="center" wrapText="1"/>
      <protection/>
    </xf>
    <xf numFmtId="43" fontId="2" fillId="0" borderId="17" xfId="65" applyFont="1" applyFill="1" applyBorder="1" applyAlignment="1" applyProtection="1">
      <alignment horizontal="center"/>
      <protection/>
    </xf>
    <xf numFmtId="43" fontId="2" fillId="0" borderId="0" xfId="65" applyFont="1" applyFill="1" applyBorder="1" applyAlignment="1" applyProtection="1">
      <alignment/>
      <protection/>
    </xf>
    <xf numFmtId="43" fontId="2" fillId="0" borderId="13" xfId="65" applyFont="1" applyFill="1" applyBorder="1" applyAlignment="1" applyProtection="1">
      <alignment/>
      <protection/>
    </xf>
    <xf numFmtId="43" fontId="2" fillId="0" borderId="18" xfId="65" applyFont="1" applyFill="1" applyBorder="1" applyAlignment="1" applyProtection="1">
      <alignment horizontal="center"/>
      <protection/>
    </xf>
    <xf numFmtId="43" fontId="2" fillId="0" borderId="19" xfId="65" applyFont="1" applyFill="1" applyBorder="1" applyAlignment="1" applyProtection="1">
      <alignment horizontal="center"/>
      <protection/>
    </xf>
    <xf numFmtId="49" fontId="2" fillId="0" borderId="11" xfId="50" applyNumberFormat="1" applyFont="1" applyFill="1" applyBorder="1" applyAlignment="1" applyProtection="1">
      <alignment horizontal="left" indent="1"/>
      <protection/>
    </xf>
    <xf numFmtId="37" fontId="2" fillId="0" borderId="24" xfId="50" applyNumberFormat="1" applyFont="1" applyFill="1" applyBorder="1" applyAlignment="1" applyProtection="1">
      <alignment/>
      <protection/>
    </xf>
    <xf numFmtId="37" fontId="2" fillId="0" borderId="11" xfId="50" applyNumberFormat="1" applyFont="1" applyFill="1" applyBorder="1" applyAlignment="1" applyProtection="1">
      <alignment/>
      <protection/>
    </xf>
    <xf numFmtId="0" fontId="4" fillId="33" borderId="17" xfId="50" applyNumberFormat="1" applyFont="1" applyFill="1" applyBorder="1" applyAlignment="1" applyProtection="1">
      <alignment horizontal="center"/>
      <protection/>
    </xf>
    <xf numFmtId="37" fontId="4" fillId="33" borderId="14" xfId="50" applyNumberFormat="1" applyFont="1" applyFill="1" applyBorder="1" applyAlignment="1" applyProtection="1">
      <alignment horizontal="center"/>
      <protection/>
    </xf>
    <xf numFmtId="49" fontId="2" fillId="0" borderId="16" xfId="50" applyNumberFormat="1" applyFont="1" applyFill="1" applyBorder="1" applyAlignment="1" applyProtection="1">
      <alignment/>
      <protection/>
    </xf>
    <xf numFmtId="43" fontId="2" fillId="0" borderId="19" xfId="65" applyFont="1" applyFill="1" applyBorder="1" applyAlignment="1" applyProtection="1">
      <alignment/>
      <protection/>
    </xf>
    <xf numFmtId="0" fontId="9" fillId="0" borderId="0" xfId="50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9" fillId="33" borderId="21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vertical="top" wrapText="1"/>
      <protection/>
    </xf>
    <xf numFmtId="175" fontId="2" fillId="0" borderId="14" xfId="0" applyNumberFormat="1" applyFont="1" applyFill="1" applyBorder="1" applyAlignment="1" applyProtection="1">
      <alignment horizontal="right"/>
      <protection/>
    </xf>
    <xf numFmtId="0" fontId="9" fillId="33" borderId="17" xfId="0" applyFont="1" applyFill="1" applyBorder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/>
      <protection/>
    </xf>
    <xf numFmtId="0" fontId="12" fillId="0" borderId="0" xfId="50" applyFont="1" applyFill="1" applyBorder="1" applyAlignment="1" applyProtection="1">
      <alignment/>
      <protection/>
    </xf>
    <xf numFmtId="0" fontId="9" fillId="0" borderId="0" xfId="50" applyFont="1" applyFill="1" applyBorder="1" applyAlignment="1" applyProtection="1">
      <alignment/>
      <protection/>
    </xf>
    <xf numFmtId="0" fontId="9" fillId="0" borderId="0" xfId="50" applyFont="1" applyFill="1" applyAlignment="1" applyProtection="1">
      <alignment/>
      <protection/>
    </xf>
    <xf numFmtId="0" fontId="9" fillId="0" borderId="0" xfId="50" applyFont="1" applyBorder="1" applyAlignment="1" applyProtection="1">
      <alignment horizontal="right" vertical="top" wrapText="1"/>
      <protection/>
    </xf>
    <xf numFmtId="0" fontId="9" fillId="0" borderId="0" xfId="50" applyFont="1" applyAlignment="1" applyProtection="1">
      <alignment horizontal="right" vertical="top" wrapText="1"/>
      <protection/>
    </xf>
    <xf numFmtId="0" fontId="9" fillId="0" borderId="0" xfId="50" applyFont="1" applyBorder="1" applyAlignment="1" applyProtection="1">
      <alignment horizontal="left" vertical="top" wrapText="1"/>
      <protection/>
    </xf>
    <xf numFmtId="0" fontId="17" fillId="33" borderId="21" xfId="50" applyFont="1" applyFill="1" applyBorder="1" applyAlignment="1" applyProtection="1">
      <alignment horizontal="center" vertical="center" wrapText="1"/>
      <protection/>
    </xf>
    <xf numFmtId="0" fontId="17" fillId="33" borderId="20" xfId="50" applyFont="1" applyFill="1" applyBorder="1" applyAlignment="1" applyProtection="1">
      <alignment horizontal="center" vertical="top" wrapText="1"/>
      <protection/>
    </xf>
    <xf numFmtId="0" fontId="9" fillId="0" borderId="22" xfId="50" applyFont="1" applyBorder="1" applyAlignment="1" applyProtection="1">
      <alignment horizontal="left" wrapText="1"/>
      <protection/>
    </xf>
    <xf numFmtId="0" fontId="9" fillId="0" borderId="17" xfId="50" applyFont="1" applyBorder="1" applyAlignment="1" applyProtection="1">
      <alignment horizontal="left" wrapText="1"/>
      <protection/>
    </xf>
    <xf numFmtId="0" fontId="9" fillId="0" borderId="18" xfId="50" applyFont="1" applyBorder="1" applyAlignment="1" applyProtection="1">
      <alignment horizontal="left" wrapText="1"/>
      <protection/>
    </xf>
    <xf numFmtId="0" fontId="9" fillId="0" borderId="18" xfId="50" applyFont="1" applyBorder="1" applyAlignment="1" applyProtection="1">
      <alignment horizontal="justify" wrapText="1"/>
      <protection/>
    </xf>
    <xf numFmtId="0" fontId="18" fillId="33" borderId="17" xfId="50" applyFont="1" applyFill="1" applyBorder="1" applyAlignment="1" applyProtection="1">
      <alignment horizontal="left" wrapText="1"/>
      <protection/>
    </xf>
    <xf numFmtId="0" fontId="18" fillId="33" borderId="19" xfId="50" applyFont="1" applyFill="1" applyBorder="1" applyAlignment="1" applyProtection="1">
      <alignment horizontal="left" wrapText="1"/>
      <protection/>
    </xf>
    <xf numFmtId="0" fontId="12" fillId="0" borderId="0" xfId="50" applyFont="1" applyBorder="1" applyAlignment="1" applyProtection="1">
      <alignment wrapText="1"/>
      <protection/>
    </xf>
    <xf numFmtId="0" fontId="9" fillId="0" borderId="0" xfId="50" applyFont="1" applyAlignment="1" applyProtection="1">
      <alignment wrapText="1"/>
      <protection/>
    </xf>
    <xf numFmtId="175" fontId="9" fillId="0" borderId="0" xfId="50" applyNumberFormat="1" applyFont="1" applyBorder="1" applyAlignment="1" applyProtection="1">
      <alignment horizontal="right" vertical="top" wrapText="1"/>
      <protection/>
    </xf>
    <xf numFmtId="0" fontId="17" fillId="33" borderId="13" xfId="50" applyFont="1" applyFill="1" applyBorder="1" applyAlignment="1" applyProtection="1">
      <alignment horizontal="center" vertical="top" wrapText="1"/>
      <protection/>
    </xf>
    <xf numFmtId="43" fontId="9" fillId="0" borderId="23" xfId="65" applyFont="1" applyBorder="1" applyAlignment="1" applyProtection="1">
      <alignment horizontal="right" vertical="top" wrapText="1"/>
      <protection/>
    </xf>
    <xf numFmtId="0" fontId="9" fillId="0" borderId="0" xfId="50" applyFont="1" applyBorder="1" applyAlignment="1" applyProtection="1">
      <alignment wrapText="1"/>
      <protection/>
    </xf>
    <xf numFmtId="43" fontId="9" fillId="0" borderId="21" xfId="65" applyFont="1" applyBorder="1" applyAlignment="1" applyProtection="1">
      <alignment horizontal="right" vertical="top" wrapText="1"/>
      <protection/>
    </xf>
    <xf numFmtId="43" fontId="9" fillId="0" borderId="13" xfId="65" applyFont="1" applyBorder="1" applyAlignment="1" applyProtection="1">
      <alignment horizontal="right" vertical="top" wrapText="1"/>
      <protection/>
    </xf>
    <xf numFmtId="43" fontId="9" fillId="0" borderId="13" xfId="65" applyFont="1" applyBorder="1" applyAlignment="1" applyProtection="1">
      <alignment horizontal="right" vertical="center" wrapText="1"/>
      <protection/>
    </xf>
    <xf numFmtId="0" fontId="0" fillId="0" borderId="0" xfId="50" applyFont="1" applyFill="1" applyAlignment="1" applyProtection="1">
      <alignment horizontal="left"/>
      <protection/>
    </xf>
    <xf numFmtId="0" fontId="0" fillId="0" borderId="0" xfId="50" applyFont="1" applyFill="1" applyProtection="1">
      <alignment/>
      <protection/>
    </xf>
    <xf numFmtId="49" fontId="9" fillId="0" borderId="0" xfId="50" applyNumberFormat="1" applyFont="1" applyFill="1" applyAlignment="1" applyProtection="1">
      <alignment/>
      <protection/>
    </xf>
    <xf numFmtId="0" fontId="17" fillId="0" borderId="0" xfId="50" applyFont="1" applyFill="1" applyAlignment="1" applyProtection="1">
      <alignment/>
      <protection/>
    </xf>
    <xf numFmtId="0" fontId="0" fillId="0" borderId="14" xfId="50" applyFont="1" applyFill="1" applyBorder="1" applyProtection="1">
      <alignment/>
      <protection/>
    </xf>
    <xf numFmtId="0" fontId="9" fillId="0" borderId="14" xfId="50" applyFont="1" applyFill="1" applyBorder="1" applyAlignment="1" applyProtection="1">
      <alignment horizontal="right"/>
      <protection/>
    </xf>
    <xf numFmtId="0" fontId="17" fillId="0" borderId="0" xfId="50" applyFont="1" applyFill="1" applyBorder="1" applyAlignment="1" applyProtection="1">
      <alignment/>
      <protection/>
    </xf>
    <xf numFmtId="0" fontId="17" fillId="0" borderId="0" xfId="50" applyFont="1" applyFill="1" applyBorder="1" applyAlignment="1" applyProtection="1">
      <alignment vertical="center"/>
      <protection/>
    </xf>
    <xf numFmtId="0" fontId="9" fillId="33" borderId="15" xfId="50" applyFont="1" applyFill="1" applyBorder="1" applyAlignment="1" applyProtection="1">
      <alignment horizontal="center" wrapText="1"/>
      <protection/>
    </xf>
    <xf numFmtId="0" fontId="0" fillId="0" borderId="0" xfId="50" applyFont="1" applyFill="1" applyBorder="1" applyProtection="1">
      <alignment/>
      <protection/>
    </xf>
    <xf numFmtId="0" fontId="9" fillId="34" borderId="12" xfId="50" applyFont="1" applyFill="1" applyBorder="1" applyAlignment="1" applyProtection="1">
      <alignment horizontal="center" vertical="center" wrapText="1"/>
      <protection locked="0"/>
    </xf>
    <xf numFmtId="0" fontId="9" fillId="33" borderId="17" xfId="50" applyFont="1" applyFill="1" applyBorder="1" applyAlignment="1" applyProtection="1">
      <alignment horizontal="center"/>
      <protection/>
    </xf>
    <xf numFmtId="0" fontId="9" fillId="33" borderId="24" xfId="50" applyFont="1" applyFill="1" applyBorder="1" applyAlignment="1" applyProtection="1">
      <alignment horizontal="center"/>
      <protection/>
    </xf>
    <xf numFmtId="0" fontId="9" fillId="33" borderId="16" xfId="50" applyFont="1" applyFill="1" applyBorder="1" applyAlignment="1" applyProtection="1">
      <alignment vertical="center" wrapText="1"/>
      <protection/>
    </xf>
    <xf numFmtId="0" fontId="9" fillId="33" borderId="19" xfId="50" applyFont="1" applyFill="1" applyBorder="1" applyAlignment="1" applyProtection="1">
      <alignment horizontal="center" wrapText="1"/>
      <protection/>
    </xf>
    <xf numFmtId="0" fontId="9" fillId="33" borderId="19" xfId="50" applyFont="1" applyFill="1" applyBorder="1" applyAlignment="1" applyProtection="1">
      <alignment horizontal="center"/>
      <protection/>
    </xf>
    <xf numFmtId="0" fontId="9" fillId="33" borderId="14" xfId="50" applyFont="1" applyFill="1" applyBorder="1" applyAlignment="1" applyProtection="1">
      <alignment horizontal="center"/>
      <protection/>
    </xf>
    <xf numFmtId="0" fontId="9" fillId="33" borderId="20" xfId="51" applyFont="1" applyFill="1" applyBorder="1" applyAlignment="1" applyProtection="1">
      <alignment horizontal="center"/>
      <protection/>
    </xf>
    <xf numFmtId="0" fontId="9" fillId="0" borderId="12" xfId="50" applyFont="1" applyFill="1" applyBorder="1" applyAlignment="1" applyProtection="1">
      <alignment horizontal="left" wrapText="1"/>
      <protection/>
    </xf>
    <xf numFmtId="43" fontId="9" fillId="0" borderId="18" xfId="50" applyNumberFormat="1" applyFont="1" applyFill="1" applyBorder="1" applyAlignment="1" applyProtection="1">
      <alignment/>
      <protection/>
    </xf>
    <xf numFmtId="43" fontId="9" fillId="0" borderId="21" xfId="50" applyNumberFormat="1" applyFont="1" applyFill="1" applyBorder="1" applyAlignment="1" applyProtection="1">
      <alignment/>
      <protection/>
    </xf>
    <xf numFmtId="0" fontId="9" fillId="0" borderId="12" xfId="50" applyFont="1" applyFill="1" applyBorder="1" applyAlignment="1" applyProtection="1">
      <alignment horizontal="left" vertical="top" wrapText="1"/>
      <protection/>
    </xf>
    <xf numFmtId="43" fontId="9" fillId="0" borderId="12" xfId="65" applyFont="1" applyFill="1" applyBorder="1" applyAlignment="1" applyProtection="1">
      <alignment/>
      <protection/>
    </xf>
    <xf numFmtId="43" fontId="9" fillId="0" borderId="0" xfId="65" applyFont="1" applyFill="1" applyBorder="1" applyAlignment="1" applyProtection="1">
      <alignment/>
      <protection/>
    </xf>
    <xf numFmtId="43" fontId="9" fillId="34" borderId="13" xfId="65" applyFont="1" applyFill="1" applyBorder="1" applyAlignment="1" applyProtection="1">
      <alignment/>
      <protection locked="0"/>
    </xf>
    <xf numFmtId="43" fontId="9" fillId="34" borderId="12" xfId="65" applyFont="1" applyFill="1" applyBorder="1" applyAlignment="1" applyProtection="1">
      <alignment horizontal="left" vertical="top" wrapText="1"/>
      <protection locked="0"/>
    </xf>
    <xf numFmtId="43" fontId="9" fillId="34" borderId="18" xfId="65" applyFont="1" applyFill="1" applyBorder="1" applyAlignment="1" applyProtection="1">
      <alignment/>
      <protection locked="0"/>
    </xf>
    <xf numFmtId="43" fontId="9" fillId="34" borderId="0" xfId="65" applyFont="1" applyFill="1" applyBorder="1" applyAlignment="1" applyProtection="1">
      <alignment/>
      <protection locked="0"/>
    </xf>
    <xf numFmtId="43" fontId="9" fillId="0" borderId="13" xfId="65" applyFont="1" applyFill="1" applyBorder="1" applyAlignment="1" applyProtection="1">
      <alignment/>
      <protection/>
    </xf>
    <xf numFmtId="43" fontId="9" fillId="34" borderId="18" xfId="65" applyFont="1" applyFill="1" applyBorder="1" applyAlignment="1" applyProtection="1">
      <alignment horizontal="left" vertical="top" wrapText="1"/>
      <protection locked="0"/>
    </xf>
    <xf numFmtId="43" fontId="9" fillId="34" borderId="13" xfId="65" applyFont="1" applyFill="1" applyBorder="1" applyAlignment="1" applyProtection="1">
      <alignment horizontal="left" vertical="top" wrapText="1"/>
      <protection locked="0"/>
    </xf>
    <xf numFmtId="43" fontId="0" fillId="34" borderId="0" xfId="65" applyFont="1" applyFill="1" applyAlignment="1" applyProtection="1">
      <alignment/>
      <protection locked="0"/>
    </xf>
    <xf numFmtId="0" fontId="9" fillId="0" borderId="10" xfId="50" applyFont="1" applyFill="1" applyBorder="1" applyAlignment="1" applyProtection="1">
      <alignment horizontal="left" wrapText="1"/>
      <protection/>
    </xf>
    <xf numFmtId="43" fontId="0" fillId="0" borderId="22" xfId="50" applyNumberFormat="1" applyFont="1" applyFill="1" applyBorder="1" applyProtection="1">
      <alignment/>
      <protection/>
    </xf>
    <xf numFmtId="43" fontId="0" fillId="0" borderId="23" xfId="50" applyNumberFormat="1" applyFont="1" applyFill="1" applyBorder="1" applyProtection="1">
      <alignment/>
      <protection/>
    </xf>
    <xf numFmtId="49" fontId="9" fillId="0" borderId="0" xfId="50" applyNumberFormat="1" applyFont="1" applyFill="1" applyBorder="1" applyAlignment="1" applyProtection="1">
      <alignment/>
      <protection/>
    </xf>
    <xf numFmtId="0" fontId="21" fillId="0" borderId="0" xfId="51" applyFont="1" applyFill="1" applyBorder="1" applyAlignment="1" applyProtection="1">
      <alignment horizontal="center"/>
      <protection/>
    </xf>
    <xf numFmtId="0" fontId="21" fillId="0" borderId="0" xfId="51" applyFont="1" applyFill="1" applyBorder="1" applyAlignment="1" applyProtection="1">
      <alignment horizontal="center" wrapText="1"/>
      <protection/>
    </xf>
    <xf numFmtId="0" fontId="21" fillId="0" borderId="0" xfId="50" applyFont="1" applyFill="1" applyBorder="1" applyAlignment="1" applyProtection="1">
      <alignment/>
      <protection/>
    </xf>
    <xf numFmtId="0" fontId="108" fillId="0" borderId="0" xfId="50" applyFont="1" applyFill="1" applyAlignment="1" applyProtection="1">
      <alignment/>
      <protection/>
    </xf>
    <xf numFmtId="0" fontId="109" fillId="0" borderId="0" xfId="50" applyFont="1" applyFill="1" applyAlignment="1" applyProtection="1">
      <alignment/>
      <protection/>
    </xf>
    <xf numFmtId="0" fontId="109" fillId="0" borderId="0" xfId="50" applyFont="1" applyFill="1" applyAlignment="1" applyProtection="1">
      <alignment vertical="center"/>
      <protection/>
    </xf>
    <xf numFmtId="0" fontId="109" fillId="0" borderId="0" xfId="50" applyFont="1" applyFill="1" applyAlignment="1" applyProtection="1">
      <alignment horizontal="center" vertical="center"/>
      <protection/>
    </xf>
    <xf numFmtId="0" fontId="109" fillId="0" borderId="0" xfId="50" applyFont="1" applyFill="1" applyAlignment="1" applyProtection="1">
      <alignment horizontal="left" vertical="center"/>
      <protection/>
    </xf>
    <xf numFmtId="0" fontId="0" fillId="0" borderId="0" xfId="50" applyFont="1" applyFill="1" applyBorder="1" applyAlignment="1" applyProtection="1">
      <alignment/>
      <protection/>
    </xf>
    <xf numFmtId="0" fontId="105" fillId="0" borderId="0" xfId="50" applyFont="1" applyFill="1" applyBorder="1" applyAlignment="1" applyProtection="1">
      <alignment/>
      <protection/>
    </xf>
    <xf numFmtId="0" fontId="12" fillId="0" borderId="0" xfId="50" applyFont="1" applyFill="1" applyAlignment="1" applyProtection="1">
      <alignment/>
      <protection/>
    </xf>
    <xf numFmtId="0" fontId="9" fillId="0" borderId="0" xfId="50" applyFont="1" applyFill="1" applyAlignment="1" applyProtection="1">
      <alignment horizontal="center"/>
      <protection/>
    </xf>
    <xf numFmtId="175" fontId="9" fillId="0" borderId="0" xfId="50" applyNumberFormat="1" applyFont="1" applyFill="1" applyAlignment="1" applyProtection="1">
      <alignment horizontal="right"/>
      <protection/>
    </xf>
    <xf numFmtId="0" fontId="9" fillId="33" borderId="15" xfId="50" applyFont="1" applyFill="1" applyBorder="1" applyAlignment="1" applyProtection="1">
      <alignment/>
      <protection/>
    </xf>
    <xf numFmtId="0" fontId="9" fillId="33" borderId="12" xfId="50" applyFont="1" applyFill="1" applyBorder="1" applyAlignment="1" applyProtection="1">
      <alignment horizontal="center"/>
      <protection/>
    </xf>
    <xf numFmtId="0" fontId="9" fillId="33" borderId="16" xfId="50" applyFont="1" applyFill="1" applyBorder="1" applyAlignment="1" applyProtection="1">
      <alignment/>
      <protection/>
    </xf>
    <xf numFmtId="0" fontId="9" fillId="0" borderId="12" xfId="50" applyFont="1" applyBorder="1" applyAlignment="1" applyProtection="1">
      <alignment horizontal="left" vertical="top" wrapText="1"/>
      <protection/>
    </xf>
    <xf numFmtId="10" fontId="9" fillId="0" borderId="13" xfId="53" applyNumberFormat="1" applyFont="1" applyFill="1" applyBorder="1" applyAlignment="1" applyProtection="1">
      <alignment/>
      <protection/>
    </xf>
    <xf numFmtId="0" fontId="23" fillId="0" borderId="12" xfId="50" applyFont="1" applyBorder="1" applyAlignment="1" applyProtection="1">
      <alignment horizontal="left" vertical="top" wrapText="1"/>
      <protection/>
    </xf>
    <xf numFmtId="43" fontId="9" fillId="0" borderId="13" xfId="65" applyFont="1" applyFill="1" applyBorder="1" applyAlignment="1" applyProtection="1">
      <alignment horizontal="center"/>
      <protection/>
    </xf>
    <xf numFmtId="43" fontId="9" fillId="34" borderId="13" xfId="65" applyFont="1" applyFill="1" applyBorder="1" applyAlignment="1" applyProtection="1">
      <alignment horizontal="center"/>
      <protection locked="0"/>
    </xf>
    <xf numFmtId="43" fontId="9" fillId="34" borderId="12" xfId="65" applyFont="1" applyFill="1" applyBorder="1" applyAlignment="1" applyProtection="1">
      <alignment horizontal="center"/>
      <protection locked="0"/>
    </xf>
    <xf numFmtId="0" fontId="110" fillId="0" borderId="12" xfId="50" applyFont="1" applyBorder="1" applyAlignment="1" applyProtection="1">
      <alignment horizontal="left" vertical="top" wrapText="1"/>
      <protection/>
    </xf>
    <xf numFmtId="0" fontId="9" fillId="0" borderId="10" xfId="50" applyFont="1" applyBorder="1" applyAlignment="1" applyProtection="1">
      <alignment horizontal="left" vertical="top" wrapText="1"/>
      <protection/>
    </xf>
    <xf numFmtId="10" fontId="9" fillId="0" borderId="23" xfId="53" applyNumberFormat="1" applyFont="1" applyFill="1" applyBorder="1" applyAlignment="1" applyProtection="1">
      <alignment/>
      <protection/>
    </xf>
    <xf numFmtId="0" fontId="9" fillId="33" borderId="0" xfId="50" applyFont="1" applyFill="1" applyBorder="1" applyAlignment="1" applyProtection="1">
      <alignment/>
      <protection/>
    </xf>
    <xf numFmtId="0" fontId="9" fillId="33" borderId="0" xfId="50" applyFont="1" applyFill="1" applyBorder="1" applyAlignment="1" applyProtection="1">
      <alignment horizontal="center"/>
      <protection/>
    </xf>
    <xf numFmtId="0" fontId="9" fillId="0" borderId="12" xfId="50" applyFont="1" applyBorder="1" applyAlignment="1" applyProtection="1">
      <alignment horizontal="left" wrapText="1"/>
      <protection/>
    </xf>
    <xf numFmtId="0" fontId="9" fillId="0" borderId="12" xfId="50" applyFont="1" applyBorder="1" applyAlignment="1" applyProtection="1">
      <alignment horizontal="justify" vertical="top" wrapText="1"/>
      <protection/>
    </xf>
    <xf numFmtId="0" fontId="23" fillId="0" borderId="12" xfId="50" applyFont="1" applyBorder="1" applyAlignment="1" applyProtection="1">
      <alignment horizontal="justify" vertical="top" wrapText="1"/>
      <protection/>
    </xf>
    <xf numFmtId="0" fontId="9" fillId="33" borderId="12" xfId="50" applyFont="1" applyFill="1" applyBorder="1" applyAlignment="1" applyProtection="1">
      <alignment/>
      <protection/>
    </xf>
    <xf numFmtId="0" fontId="9" fillId="0" borderId="15" xfId="50" applyFont="1" applyBorder="1" applyAlignment="1" applyProtection="1">
      <alignment horizontal="left" vertical="top" wrapText="1"/>
      <protection/>
    </xf>
    <xf numFmtId="0" fontId="109" fillId="0" borderId="12" xfId="50" applyFont="1" applyFill="1" applyBorder="1" applyAlignment="1" applyProtection="1">
      <alignment/>
      <protection/>
    </xf>
    <xf numFmtId="0" fontId="109" fillId="0" borderId="0" xfId="50" applyFont="1" applyFill="1" applyBorder="1" applyAlignment="1" applyProtection="1">
      <alignment/>
      <protection/>
    </xf>
    <xf numFmtId="43" fontId="109" fillId="0" borderId="0" xfId="65" applyFont="1" applyFill="1" applyBorder="1" applyAlignment="1" applyProtection="1">
      <alignment/>
      <protection/>
    </xf>
    <xf numFmtId="10" fontId="9" fillId="0" borderId="21" xfId="53" applyNumberFormat="1" applyFont="1" applyFill="1" applyBorder="1" applyAlignment="1" applyProtection="1">
      <alignment/>
      <protection/>
    </xf>
    <xf numFmtId="0" fontId="9" fillId="33" borderId="18" xfId="50" applyFont="1" applyFill="1" applyBorder="1" applyAlignment="1" applyProtection="1">
      <alignment horizontal="center"/>
      <protection/>
    </xf>
    <xf numFmtId="0" fontId="9" fillId="0" borderId="24" xfId="50" applyFont="1" applyBorder="1" applyAlignment="1" applyProtection="1">
      <alignment horizontal="left" vertical="top" wrapText="1"/>
      <protection/>
    </xf>
    <xf numFmtId="43" fontId="9" fillId="0" borderId="17" xfId="65" applyFont="1" applyBorder="1" applyAlignment="1" applyProtection="1">
      <alignment horizontal="left" vertical="top" wrapText="1"/>
      <protection/>
    </xf>
    <xf numFmtId="10" fontId="9" fillId="0" borderId="24" xfId="53" applyNumberFormat="1" applyFont="1" applyFill="1" applyBorder="1" applyAlignment="1" applyProtection="1">
      <alignment/>
      <protection/>
    </xf>
    <xf numFmtId="43" fontId="9" fillId="0" borderId="21" xfId="65" applyFont="1" applyBorder="1" applyAlignment="1" applyProtection="1">
      <alignment horizontal="left" vertical="top" wrapText="1"/>
      <protection/>
    </xf>
    <xf numFmtId="43" fontId="9" fillId="34" borderId="18" xfId="65" applyNumberFormat="1" applyFont="1" applyFill="1" applyBorder="1" applyAlignment="1" applyProtection="1">
      <alignment horizontal="left" vertical="top" wrapText="1"/>
      <protection locked="0"/>
    </xf>
    <xf numFmtId="43" fontId="9" fillId="0" borderId="18" xfId="65" applyFont="1" applyBorder="1" applyAlignment="1" applyProtection="1">
      <alignment horizontal="left" vertical="top" wrapText="1"/>
      <protection/>
    </xf>
    <xf numFmtId="43" fontId="9" fillId="0" borderId="13" xfId="65" applyFont="1" applyBorder="1" applyAlignment="1" applyProtection="1">
      <alignment horizontal="left" vertical="top" wrapText="1"/>
      <protection/>
    </xf>
    <xf numFmtId="0" fontId="9" fillId="0" borderId="14" xfId="50" applyFont="1" applyBorder="1" applyAlignment="1" applyProtection="1">
      <alignment horizontal="left" vertical="top" wrapText="1"/>
      <protection/>
    </xf>
    <xf numFmtId="43" fontId="9" fillId="34" borderId="19" xfId="65" applyNumberFormat="1" applyFont="1" applyFill="1" applyBorder="1" applyAlignment="1" applyProtection="1">
      <alignment horizontal="left" vertical="top" wrapText="1"/>
      <protection locked="0"/>
    </xf>
    <xf numFmtId="10" fontId="9" fillId="0" borderId="14" xfId="53" applyNumberFormat="1" applyFont="1" applyFill="1" applyBorder="1" applyAlignment="1" applyProtection="1">
      <alignment/>
      <protection/>
    </xf>
    <xf numFmtId="43" fontId="9" fillId="34" borderId="20" xfId="65" applyFont="1" applyFill="1" applyBorder="1" applyAlignment="1" applyProtection="1">
      <alignment horizontal="left" vertical="top" wrapText="1"/>
      <protection locked="0"/>
    </xf>
    <xf numFmtId="0" fontId="9" fillId="0" borderId="16" xfId="50" applyFont="1" applyBorder="1" applyAlignment="1" applyProtection="1">
      <alignment horizontal="left" vertical="top" wrapText="1"/>
      <protection/>
    </xf>
    <xf numFmtId="43" fontId="9" fillId="0" borderId="19" xfId="50" applyNumberFormat="1" applyFont="1" applyBorder="1" applyAlignment="1" applyProtection="1">
      <alignment horizontal="left" vertical="top" wrapText="1"/>
      <protection/>
    </xf>
    <xf numFmtId="43" fontId="9" fillId="0" borderId="20" xfId="50" applyNumberFormat="1" applyFont="1" applyBorder="1" applyAlignment="1" applyProtection="1">
      <alignment horizontal="left" vertical="top" wrapText="1"/>
      <protection/>
    </xf>
    <xf numFmtId="0" fontId="9" fillId="0" borderId="24" xfId="50" applyFont="1" applyBorder="1" applyAlignment="1" applyProtection="1">
      <alignment vertical="top" wrapText="1"/>
      <protection/>
    </xf>
    <xf numFmtId="0" fontId="9" fillId="0" borderId="15" xfId="50" applyFont="1" applyBorder="1" applyAlignment="1" applyProtection="1">
      <alignment vertical="top" wrapText="1"/>
      <protection/>
    </xf>
    <xf numFmtId="0" fontId="9" fillId="0" borderId="0" xfId="50" applyFont="1" applyBorder="1" applyAlignment="1" applyProtection="1">
      <alignment vertical="top" wrapText="1"/>
      <protection/>
    </xf>
    <xf numFmtId="0" fontId="9" fillId="0" borderId="12" xfId="50" applyFont="1" applyBorder="1" applyAlignment="1" applyProtection="1">
      <alignment vertical="top" wrapText="1"/>
      <protection/>
    </xf>
    <xf numFmtId="0" fontId="9" fillId="0" borderId="14" xfId="50" applyFont="1" applyBorder="1" applyAlignment="1" applyProtection="1">
      <alignment vertical="top" wrapText="1"/>
      <protection/>
    </xf>
    <xf numFmtId="0" fontId="9" fillId="0" borderId="16" xfId="50" applyFont="1" applyBorder="1" applyAlignment="1" applyProtection="1">
      <alignment vertical="top" wrapText="1"/>
      <protection/>
    </xf>
    <xf numFmtId="0" fontId="9" fillId="0" borderId="11" xfId="50" applyFont="1" applyBorder="1" applyAlignment="1" applyProtection="1">
      <alignment vertical="top" wrapText="1"/>
      <protection/>
    </xf>
    <xf numFmtId="0" fontId="9" fillId="0" borderId="10" xfId="50" applyFont="1" applyBorder="1" applyAlignment="1" applyProtection="1">
      <alignment vertical="top" wrapText="1"/>
      <protection/>
    </xf>
    <xf numFmtId="0" fontId="9" fillId="0" borderId="0" xfId="50" applyFont="1" applyFill="1" applyBorder="1" applyAlignment="1" applyProtection="1">
      <alignment vertical="top"/>
      <protection/>
    </xf>
    <xf numFmtId="0" fontId="9" fillId="0" borderId="12" xfId="50" applyFont="1" applyFill="1" applyBorder="1" applyAlignment="1" applyProtection="1">
      <alignment vertical="top"/>
      <protection/>
    </xf>
    <xf numFmtId="0" fontId="9" fillId="0" borderId="0" xfId="50" applyFont="1" applyBorder="1" applyAlignment="1" applyProtection="1">
      <alignment vertical="top"/>
      <protection/>
    </xf>
    <xf numFmtId="0" fontId="9" fillId="0" borderId="12" xfId="50" applyFont="1" applyBorder="1" applyAlignment="1" applyProtection="1">
      <alignment vertical="top"/>
      <protection/>
    </xf>
    <xf numFmtId="43" fontId="9" fillId="0" borderId="17" xfId="50" applyNumberFormat="1" applyFont="1" applyFill="1" applyBorder="1" applyAlignment="1" applyProtection="1">
      <alignment horizontal="left" vertical="top" wrapText="1"/>
      <protection/>
    </xf>
    <xf numFmtId="43" fontId="9" fillId="0" borderId="21" xfId="50" applyNumberFormat="1" applyFont="1" applyFill="1" applyBorder="1" applyAlignment="1" applyProtection="1">
      <alignment horizontal="left" vertical="top" wrapText="1"/>
      <protection/>
    </xf>
    <xf numFmtId="43" fontId="9" fillId="0" borderId="15" xfId="50" applyNumberFormat="1" applyFont="1" applyFill="1" applyBorder="1" applyAlignment="1" applyProtection="1">
      <alignment horizontal="left" vertical="top" wrapText="1"/>
      <protection/>
    </xf>
    <xf numFmtId="43" fontId="9" fillId="0" borderId="18" xfId="65" applyFont="1" applyFill="1" applyBorder="1" applyAlignment="1" applyProtection="1">
      <alignment horizontal="left" vertical="top" wrapText="1"/>
      <protection/>
    </xf>
    <xf numFmtId="43" fontId="9" fillId="0" borderId="13" xfId="65" applyFont="1" applyFill="1" applyBorder="1" applyAlignment="1" applyProtection="1">
      <alignment horizontal="left" vertical="top" wrapText="1"/>
      <protection/>
    </xf>
    <xf numFmtId="43" fontId="9" fillId="0" borderId="12" xfId="65" applyFont="1" applyFill="1" applyBorder="1" applyAlignment="1" applyProtection="1">
      <alignment horizontal="left" vertical="top" wrapText="1"/>
      <protection/>
    </xf>
    <xf numFmtId="43" fontId="9" fillId="0" borderId="10" xfId="50" applyNumberFormat="1" applyFont="1" applyFill="1" applyBorder="1" applyAlignment="1" applyProtection="1">
      <alignment horizontal="left" vertical="top" wrapText="1"/>
      <protection/>
    </xf>
    <xf numFmtId="43" fontId="9" fillId="0" borderId="23" xfId="50" applyNumberFormat="1" applyFont="1" applyFill="1" applyBorder="1" applyAlignment="1" applyProtection="1">
      <alignment horizontal="left" vertical="top" wrapText="1"/>
      <protection/>
    </xf>
    <xf numFmtId="0" fontId="9" fillId="0" borderId="24" xfId="50" applyFont="1" applyBorder="1" applyAlignment="1" applyProtection="1">
      <alignment vertical="center" wrapText="1"/>
      <protection/>
    </xf>
    <xf numFmtId="0" fontId="9" fillId="0" borderId="0" xfId="50" applyFont="1" applyFill="1" applyBorder="1" applyAlignment="1" applyProtection="1">
      <alignment horizontal="left" vertical="center" wrapText="1"/>
      <protection/>
    </xf>
    <xf numFmtId="0" fontId="9" fillId="0" borderId="12" xfId="50" applyFont="1" applyBorder="1" applyAlignment="1" applyProtection="1">
      <alignment vertical="center" wrapText="1"/>
      <protection/>
    </xf>
    <xf numFmtId="43" fontId="9" fillId="0" borderId="0" xfId="65" applyFont="1" applyFill="1" applyBorder="1" applyAlignment="1" applyProtection="1">
      <alignment horizontal="center" vertical="center"/>
      <protection/>
    </xf>
    <xf numFmtId="0" fontId="111" fillId="0" borderId="0" xfId="50" applyFont="1" applyFill="1" applyBorder="1" applyAlignment="1" applyProtection="1">
      <alignment/>
      <protection/>
    </xf>
    <xf numFmtId="0" fontId="109" fillId="0" borderId="0" xfId="51" applyFont="1" applyFill="1" applyBorder="1" applyAlignment="1" applyProtection="1">
      <alignment/>
      <protection/>
    </xf>
    <xf numFmtId="0" fontId="109" fillId="0" borderId="0" xfId="51" applyFont="1" applyFill="1" applyBorder="1" applyAlignment="1" applyProtection="1">
      <alignment vertical="center"/>
      <protection/>
    </xf>
    <xf numFmtId="0" fontId="109" fillId="0" borderId="0" xfId="51" applyFont="1" applyFill="1" applyBorder="1" applyAlignment="1" applyProtection="1">
      <alignment horizontal="center" wrapText="1"/>
      <protection/>
    </xf>
    <xf numFmtId="0" fontId="109" fillId="0" borderId="0" xfId="51" applyFont="1" applyFill="1" applyBorder="1" applyAlignment="1" applyProtection="1">
      <alignment horizontal="center"/>
      <protection/>
    </xf>
    <xf numFmtId="43" fontId="9" fillId="34" borderId="18" xfId="65" applyFont="1" applyFill="1" applyBorder="1" applyAlignment="1" applyProtection="1">
      <alignment vertical="center"/>
      <protection locked="0"/>
    </xf>
    <xf numFmtId="43" fontId="9" fillId="34" borderId="18" xfId="65" applyFont="1" applyFill="1" applyBorder="1" applyAlignment="1" applyProtection="1">
      <alignment horizontal="center" vertical="center"/>
      <protection locked="0"/>
    </xf>
    <xf numFmtId="10" fontId="9" fillId="0" borderId="18" xfId="53" applyNumberFormat="1" applyFont="1" applyFill="1" applyBorder="1" applyAlignment="1" applyProtection="1">
      <alignment vertical="center"/>
      <protection/>
    </xf>
    <xf numFmtId="43" fontId="9" fillId="34" borderId="18" xfId="65" applyFont="1" applyFill="1" applyBorder="1" applyAlignment="1" applyProtection="1">
      <alignment horizontal="left" vertical="center" wrapText="1"/>
      <protection locked="0"/>
    </xf>
    <xf numFmtId="43" fontId="9" fillId="34" borderId="21" xfId="65" applyFont="1" applyFill="1" applyBorder="1" applyAlignment="1" applyProtection="1">
      <alignment vertical="center"/>
      <protection locked="0"/>
    </xf>
    <xf numFmtId="43" fontId="9" fillId="34" borderId="12" xfId="65" applyFont="1" applyFill="1" applyBorder="1" applyAlignment="1" applyProtection="1">
      <alignment/>
      <protection locked="0"/>
    </xf>
    <xf numFmtId="0" fontId="9" fillId="0" borderId="0" xfId="50" applyFont="1" applyBorder="1" applyAlignment="1" applyProtection="1">
      <alignment horizontal="left" wrapText="1"/>
      <protection/>
    </xf>
    <xf numFmtId="0" fontId="9" fillId="0" borderId="16" xfId="50" applyFont="1" applyBorder="1" applyAlignment="1" applyProtection="1">
      <alignment horizontal="left" wrapText="1"/>
      <protection/>
    </xf>
    <xf numFmtId="43" fontId="9" fillId="34" borderId="20" xfId="65" applyFont="1" applyFill="1" applyBorder="1" applyAlignment="1" applyProtection="1">
      <alignment/>
      <protection locked="0"/>
    </xf>
    <xf numFmtId="43" fontId="9" fillId="0" borderId="22" xfId="65" applyFont="1" applyFill="1" applyBorder="1" applyAlignment="1" applyProtection="1">
      <alignment vertical="center"/>
      <protection/>
    </xf>
    <xf numFmtId="10" fontId="9" fillId="0" borderId="22" xfId="53" applyNumberFormat="1" applyFont="1" applyFill="1" applyBorder="1" applyAlignment="1" applyProtection="1">
      <alignment vertical="center"/>
      <protection/>
    </xf>
    <xf numFmtId="43" fontId="9" fillId="0" borderId="23" xfId="65" applyFont="1" applyFill="1" applyBorder="1" applyAlignment="1" applyProtection="1">
      <alignment vertical="center"/>
      <protection/>
    </xf>
    <xf numFmtId="43" fontId="9" fillId="0" borderId="10" xfId="50" applyNumberFormat="1" applyFont="1" applyFill="1" applyBorder="1" applyAlignment="1" applyProtection="1">
      <alignment/>
      <protection/>
    </xf>
    <xf numFmtId="43" fontId="9" fillId="0" borderId="23" xfId="50" applyNumberFormat="1" applyFont="1" applyFill="1" applyBorder="1" applyAlignment="1" applyProtection="1">
      <alignment/>
      <protection/>
    </xf>
    <xf numFmtId="0" fontId="109" fillId="0" borderId="0" xfId="50" applyFont="1" applyFill="1" applyBorder="1" applyAlignment="1" applyProtection="1">
      <alignment horizontal="left" vertical="center" wrapText="1"/>
      <protection/>
    </xf>
    <xf numFmtId="0" fontId="109" fillId="0" borderId="0" xfId="5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7" fillId="33" borderId="17" xfId="0" applyFont="1" applyFill="1" applyBorder="1" applyAlignment="1" applyProtection="1">
      <alignment horizontal="center" vertical="center"/>
      <protection/>
    </xf>
    <xf numFmtId="0" fontId="17" fillId="33" borderId="17" xfId="0" applyFont="1" applyFill="1" applyBorder="1" applyAlignment="1" applyProtection="1">
      <alignment horizontal="center" vertical="center" wrapText="1"/>
      <protection/>
    </xf>
    <xf numFmtId="0" fontId="17" fillId="33" borderId="18" xfId="0" applyFont="1" applyFill="1" applyBorder="1" applyAlignment="1" applyProtection="1">
      <alignment horizontal="center" vertical="center"/>
      <protection/>
    </xf>
    <xf numFmtId="0" fontId="17" fillId="33" borderId="19" xfId="0" applyFont="1" applyFill="1" applyBorder="1" applyAlignment="1" applyProtection="1">
      <alignment horizontal="center" vertical="center" wrapText="1"/>
      <protection/>
    </xf>
    <xf numFmtId="0" fontId="17" fillId="33" borderId="19" xfId="0" applyFont="1" applyFill="1" applyBorder="1" applyAlignment="1" applyProtection="1">
      <alignment horizontal="center" vertical="center"/>
      <protection/>
    </xf>
    <xf numFmtId="0" fontId="17" fillId="33" borderId="19" xfId="50" applyFont="1" applyFill="1" applyBorder="1" applyAlignment="1" applyProtection="1">
      <alignment horizontal="center"/>
      <protection/>
    </xf>
    <xf numFmtId="43" fontId="9" fillId="0" borderId="18" xfId="65" applyFont="1" applyFill="1" applyBorder="1" applyAlignment="1" applyProtection="1">
      <alignment/>
      <protection/>
    </xf>
    <xf numFmtId="49" fontId="17" fillId="33" borderId="11" xfId="0" applyNumberFormat="1" applyFont="1" applyFill="1" applyBorder="1" applyAlignment="1" applyProtection="1">
      <alignment/>
      <protection/>
    </xf>
    <xf numFmtId="43" fontId="9" fillId="33" borderId="23" xfId="65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175" fontId="9" fillId="0" borderId="0" xfId="0" applyNumberFormat="1" applyFont="1" applyFill="1" applyAlignment="1" applyProtection="1">
      <alignment horizontal="right"/>
      <protection/>
    </xf>
    <xf numFmtId="43" fontId="9" fillId="33" borderId="22" xfId="65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9" fillId="33" borderId="15" xfId="0" applyNumberFormat="1" applyFont="1" applyFill="1" applyBorder="1" applyAlignment="1" applyProtection="1">
      <alignment vertical="center"/>
      <protection/>
    </xf>
    <xf numFmtId="0" fontId="17" fillId="33" borderId="21" xfId="0" applyFont="1" applyFill="1" applyBorder="1" applyAlignment="1" applyProtection="1">
      <alignment horizontal="center" vertical="center"/>
      <protection/>
    </xf>
    <xf numFmtId="0" fontId="18" fillId="33" borderId="12" xfId="0" applyNumberFormat="1" applyFont="1" applyFill="1" applyBorder="1" applyAlignment="1" applyProtection="1">
      <alignment horizontal="center" vertical="center"/>
      <protection/>
    </xf>
    <xf numFmtId="0" fontId="9" fillId="33" borderId="16" xfId="0" applyNumberFormat="1" applyFont="1" applyFill="1" applyBorder="1" applyAlignment="1" applyProtection="1">
      <alignment vertical="center"/>
      <protection/>
    </xf>
    <xf numFmtId="0" fontId="17" fillId="33" borderId="20" xfId="0" applyFont="1" applyFill="1" applyBorder="1" applyAlignment="1" applyProtection="1">
      <alignment horizontal="center" vertical="center"/>
      <protection/>
    </xf>
    <xf numFmtId="0" fontId="17" fillId="33" borderId="20" xfId="0" applyFont="1" applyFill="1" applyBorder="1" applyAlignment="1" applyProtection="1">
      <alignment horizontal="center" vertical="center" wrapText="1"/>
      <protection/>
    </xf>
    <xf numFmtId="43" fontId="9" fillId="0" borderId="0" xfId="65" applyFont="1" applyFill="1" applyBorder="1" applyAlignment="1" applyProtection="1">
      <alignment horizontal="center"/>
      <protection/>
    </xf>
    <xf numFmtId="0" fontId="9" fillId="33" borderId="1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 vertical="center"/>
      <protection/>
    </xf>
    <xf numFmtId="0" fontId="17" fillId="33" borderId="21" xfId="0" applyFont="1" applyFill="1" applyBorder="1" applyAlignment="1" applyProtection="1">
      <alignment horizontal="center" vertical="center" wrapText="1"/>
      <protection/>
    </xf>
    <xf numFmtId="43" fontId="9" fillId="0" borderId="18" xfId="65" applyFont="1" applyFill="1" applyBorder="1" applyAlignment="1" applyProtection="1">
      <alignment vertical="center" wrapText="1"/>
      <protection/>
    </xf>
    <xf numFmtId="43" fontId="9" fillId="34" borderId="18" xfId="65" applyNumberFormat="1" applyFont="1" applyFill="1" applyBorder="1" applyAlignment="1" applyProtection="1">
      <alignment vertical="center" wrapText="1"/>
      <protection locked="0"/>
    </xf>
    <xf numFmtId="43" fontId="9" fillId="34" borderId="18" xfId="65" applyNumberFormat="1" applyFont="1" applyFill="1" applyBorder="1" applyAlignment="1" applyProtection="1">
      <alignment vertical="center"/>
      <protection locked="0"/>
    </xf>
    <xf numFmtId="43" fontId="9" fillId="0" borderId="18" xfId="65" applyFont="1" applyFill="1" applyBorder="1" applyAlignment="1" applyProtection="1">
      <alignment vertical="center"/>
      <protection/>
    </xf>
    <xf numFmtId="37" fontId="9" fillId="37" borderId="23" xfId="0" applyNumberFormat="1" applyFont="1" applyFill="1" applyBorder="1" applyAlignment="1" applyProtection="1">
      <alignment horizontal="center" vertical="center"/>
      <protection/>
    </xf>
    <xf numFmtId="0" fontId="9" fillId="33" borderId="11" xfId="0" applyNumberFormat="1" applyFont="1" applyFill="1" applyBorder="1" applyAlignment="1" applyProtection="1">
      <alignment/>
      <protection/>
    </xf>
    <xf numFmtId="43" fontId="9" fillId="33" borderId="22" xfId="65" applyFont="1" applyFill="1" applyBorder="1" applyAlignment="1" applyProtection="1">
      <alignment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3" fontId="9" fillId="33" borderId="23" xfId="65" applyFont="1" applyFill="1" applyBorder="1" applyAlignment="1" applyProtection="1">
      <alignment vertical="center"/>
      <protection/>
    </xf>
    <xf numFmtId="43" fontId="9" fillId="33" borderId="23" xfId="0" applyNumberFormat="1" applyFont="1" applyFill="1" applyBorder="1" applyAlignment="1" applyProtection="1">
      <alignment vertical="center"/>
      <protection/>
    </xf>
    <xf numFmtId="43" fontId="9" fillId="33" borderId="22" xfId="0" applyNumberFormat="1" applyFont="1" applyFill="1" applyBorder="1" applyAlignment="1" applyProtection="1">
      <alignment vertical="center"/>
      <protection/>
    </xf>
    <xf numFmtId="43" fontId="9" fillId="34" borderId="23" xfId="65" applyNumberFormat="1" applyFont="1" applyFill="1" applyBorder="1" applyAlignment="1" applyProtection="1">
      <alignment horizontal="center" vertical="center"/>
      <protection locked="0"/>
    </xf>
    <xf numFmtId="43" fontId="9" fillId="34" borderId="22" xfId="65" applyNumberFormat="1" applyFont="1" applyFill="1" applyBorder="1" applyAlignment="1" applyProtection="1">
      <alignment horizontal="center" vertical="center"/>
      <protection locked="0"/>
    </xf>
    <xf numFmtId="43" fontId="9" fillId="34" borderId="11" xfId="65" applyNumberFormat="1" applyFont="1" applyFill="1" applyBorder="1" applyAlignment="1" applyProtection="1">
      <alignment vertical="center"/>
      <protection locked="0"/>
    </xf>
    <xf numFmtId="43" fontId="9" fillId="34" borderId="23" xfId="65" applyNumberFormat="1" applyFont="1" applyFill="1" applyBorder="1" applyAlignment="1" applyProtection="1">
      <alignment vertical="center"/>
      <protection locked="0"/>
    </xf>
    <xf numFmtId="43" fontId="9" fillId="34" borderId="22" xfId="65" applyNumberFormat="1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9" fillId="38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0" fontId="9" fillId="33" borderId="15" xfId="0" applyFont="1" applyFill="1" applyBorder="1" applyAlignment="1" applyProtection="1">
      <alignment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8" fillId="33" borderId="12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/>
      <protection/>
    </xf>
    <xf numFmtId="43" fontId="9" fillId="0" borderId="23" xfId="65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14" xfId="0" applyNumberFormat="1" applyFont="1" applyFill="1" applyBorder="1" applyAlignment="1" applyProtection="1">
      <alignment horizontal="center" vertical="center"/>
      <protection/>
    </xf>
    <xf numFmtId="0" fontId="9" fillId="33" borderId="16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9" fillId="16" borderId="0" xfId="0" applyFont="1" applyFill="1" applyBorder="1" applyAlignment="1" applyProtection="1">
      <alignment/>
      <protection/>
    </xf>
    <xf numFmtId="0" fontId="9" fillId="10" borderId="0" xfId="0" applyFont="1" applyFill="1" applyAlignment="1" applyProtection="1">
      <alignment/>
      <protection/>
    </xf>
    <xf numFmtId="0" fontId="9" fillId="4" borderId="0" xfId="0" applyFont="1" applyFill="1" applyAlignment="1" applyProtection="1">
      <alignment/>
      <protection/>
    </xf>
    <xf numFmtId="0" fontId="9" fillId="16" borderId="0" xfId="0" applyFont="1" applyFill="1" applyAlignment="1" applyProtection="1">
      <alignment/>
      <protection/>
    </xf>
    <xf numFmtId="0" fontId="17" fillId="33" borderId="11" xfId="0" applyNumberFormat="1" applyFont="1" applyFill="1" applyBorder="1" applyAlignment="1" applyProtection="1">
      <alignment/>
      <protection/>
    </xf>
    <xf numFmtId="0" fontId="9" fillId="10" borderId="0" xfId="0" applyFont="1" applyFill="1" applyAlignment="1" applyProtection="1">
      <alignment vertical="center"/>
      <protection/>
    </xf>
    <xf numFmtId="43" fontId="9" fillId="10" borderId="18" xfId="65" applyFont="1" applyFill="1" applyBorder="1" applyAlignment="1" applyProtection="1">
      <alignment vertical="center" wrapText="1"/>
      <protection/>
    </xf>
    <xf numFmtId="49" fontId="9" fillId="0" borderId="0" xfId="0" applyNumberFormat="1" applyFont="1" applyFill="1" applyAlignment="1" applyProtection="1">
      <alignment vertical="center"/>
      <protection/>
    </xf>
    <xf numFmtId="43" fontId="9" fillId="34" borderId="18" xfId="65" applyFont="1" applyFill="1" applyBorder="1" applyAlignment="1" applyProtection="1">
      <alignment vertical="center" wrapText="1"/>
      <protection locked="0"/>
    </xf>
    <xf numFmtId="49" fontId="9" fillId="10" borderId="0" xfId="0" applyNumberFormat="1" applyFont="1" applyFill="1" applyAlignment="1" applyProtection="1">
      <alignment vertical="center"/>
      <protection/>
    </xf>
    <xf numFmtId="43" fontId="9" fillId="10" borderId="13" xfId="65" applyFont="1" applyFill="1" applyBorder="1" applyAlignment="1" applyProtection="1">
      <alignment vertical="center" wrapText="1"/>
      <protection/>
    </xf>
    <xf numFmtId="49" fontId="9" fillId="4" borderId="0" xfId="0" applyNumberFormat="1" applyFont="1" applyFill="1" applyAlignment="1" applyProtection="1">
      <alignment vertical="center"/>
      <protection/>
    </xf>
    <xf numFmtId="43" fontId="9" fillId="4" borderId="13" xfId="65" applyFont="1" applyFill="1" applyBorder="1" applyAlignment="1" applyProtection="1">
      <alignment vertical="center" wrapText="1"/>
      <protection/>
    </xf>
    <xf numFmtId="43" fontId="9" fillId="34" borderId="13" xfId="65" applyFont="1" applyFill="1" applyBorder="1" applyAlignment="1" applyProtection="1">
      <alignment vertical="center" wrapText="1"/>
      <protection locked="0"/>
    </xf>
    <xf numFmtId="175" fontId="9" fillId="0" borderId="14" xfId="0" applyNumberFormat="1" applyFont="1" applyFill="1" applyBorder="1" applyAlignment="1" applyProtection="1">
      <alignment/>
      <protection/>
    </xf>
    <xf numFmtId="43" fontId="9" fillId="10" borderId="18" xfId="65" applyNumberFormat="1" applyFont="1" applyFill="1" applyBorder="1" applyAlignment="1" applyProtection="1">
      <alignment vertical="center" wrapText="1"/>
      <protection/>
    </xf>
    <xf numFmtId="43" fontId="9" fillId="34" borderId="18" xfId="65" applyNumberFormat="1" applyFont="1" applyFill="1" applyBorder="1" applyAlignment="1" applyProtection="1">
      <alignment vertical="center" wrapText="1"/>
      <protection locked="0"/>
    </xf>
    <xf numFmtId="43" fontId="9" fillId="4" borderId="18" xfId="65" applyNumberFormat="1" applyFont="1" applyFill="1" applyBorder="1" applyAlignment="1" applyProtection="1">
      <alignment vertical="center" wrapText="1"/>
      <protection/>
    </xf>
    <xf numFmtId="49" fontId="17" fillId="33" borderId="11" xfId="0" applyNumberFormat="1" applyFont="1" applyFill="1" applyBorder="1" applyAlignment="1" applyProtection="1">
      <alignment vertical="center"/>
      <protection/>
    </xf>
    <xf numFmtId="43" fontId="9" fillId="33" borderId="22" xfId="65" applyFont="1" applyFill="1" applyBorder="1" applyAlignment="1" applyProtection="1">
      <alignment vertical="center" wrapText="1"/>
      <protection/>
    </xf>
    <xf numFmtId="49" fontId="9" fillId="0" borderId="11" xfId="0" applyNumberFormat="1" applyFont="1" applyFill="1" applyBorder="1" applyAlignment="1" applyProtection="1">
      <alignment vertical="center"/>
      <protection/>
    </xf>
    <xf numFmtId="37" fontId="17" fillId="0" borderId="11" xfId="0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vertical="center" wrapText="1"/>
      <protection/>
    </xf>
    <xf numFmtId="49" fontId="17" fillId="33" borderId="10" xfId="0" applyNumberFormat="1" applyFont="1" applyFill="1" applyBorder="1" applyAlignment="1" applyProtection="1">
      <alignment horizontal="justify" vertical="center"/>
      <protection/>
    </xf>
    <xf numFmtId="43" fontId="9" fillId="33" borderId="19" xfId="65" applyFont="1" applyFill="1" applyBorder="1" applyAlignment="1" applyProtection="1">
      <alignment vertical="center" wrapText="1"/>
      <protection/>
    </xf>
    <xf numFmtId="49" fontId="17" fillId="0" borderId="0" xfId="0" applyNumberFormat="1" applyFont="1" applyFill="1" applyBorder="1" applyAlignment="1" applyProtection="1">
      <alignment horizontal="justify" vertical="center"/>
      <protection/>
    </xf>
    <xf numFmtId="43" fontId="9" fillId="0" borderId="0" xfId="65" applyFont="1" applyFill="1" applyBorder="1" applyAlignment="1" applyProtection="1">
      <alignment horizontal="center" vertical="center" wrapText="1"/>
      <protection/>
    </xf>
    <xf numFmtId="43" fontId="9" fillId="0" borderId="0" xfId="65" applyFont="1" applyFill="1" applyBorder="1" applyAlignment="1" applyProtection="1">
      <alignment vertical="center" wrapText="1"/>
      <protection/>
    </xf>
    <xf numFmtId="43" fontId="9" fillId="0" borderId="0" xfId="65" applyFont="1" applyFill="1" applyAlignment="1" applyProtection="1">
      <alignment vertical="center" wrapText="1"/>
      <protection/>
    </xf>
    <xf numFmtId="49" fontId="9" fillId="0" borderId="22" xfId="0" applyNumberFormat="1" applyFont="1" applyFill="1" applyBorder="1" applyAlignment="1" applyProtection="1">
      <alignment horizontal="justify" vertical="center"/>
      <protection/>
    </xf>
    <xf numFmtId="0" fontId="18" fillId="33" borderId="23" xfId="0" applyFont="1" applyFill="1" applyBorder="1" applyAlignment="1" applyProtection="1">
      <alignment vertical="center" wrapText="1"/>
      <protection/>
    </xf>
    <xf numFmtId="0" fontId="9" fillId="0" borderId="23" xfId="0" applyFont="1" applyBorder="1" applyAlignment="1" applyProtection="1">
      <alignment vertical="top" wrapText="1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justify" vertical="top" wrapText="1"/>
      <protection/>
    </xf>
    <xf numFmtId="0" fontId="9" fillId="0" borderId="14" xfId="0" applyFont="1" applyBorder="1" applyAlignment="1" applyProtection="1">
      <alignment horizontal="justify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24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14" xfId="0" applyFont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vertical="top"/>
      <protection/>
    </xf>
    <xf numFmtId="37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43" fontId="9" fillId="33" borderId="22" xfId="65" applyNumberFormat="1" applyFont="1" applyFill="1" applyBorder="1" applyAlignment="1" applyProtection="1">
      <alignment vertical="center" wrapText="1"/>
      <protection/>
    </xf>
    <xf numFmtId="0" fontId="9" fillId="37" borderId="22" xfId="0" applyFont="1" applyFill="1" applyBorder="1" applyAlignment="1" applyProtection="1">
      <alignment vertical="center" wrapText="1"/>
      <protection/>
    </xf>
    <xf numFmtId="0" fontId="11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 wrapText="1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43" fontId="9" fillId="0" borderId="13" xfId="65" applyFont="1" applyFill="1" applyBorder="1" applyAlignment="1" applyProtection="1">
      <alignment vertical="center" wrapText="1"/>
      <protection/>
    </xf>
    <xf numFmtId="49" fontId="9" fillId="0" borderId="12" xfId="0" applyNumberFormat="1" applyFont="1" applyFill="1" applyBorder="1" applyAlignment="1" applyProtection="1">
      <alignment vertical="center"/>
      <protection/>
    </xf>
    <xf numFmtId="43" fontId="9" fillId="34" borderId="13" xfId="65" applyFont="1" applyFill="1" applyBorder="1" applyAlignment="1" applyProtection="1">
      <alignment vertical="center" wrapText="1"/>
      <protection locked="0"/>
    </xf>
    <xf numFmtId="43" fontId="9" fillId="34" borderId="13" xfId="65" applyFont="1" applyFill="1" applyBorder="1" applyAlignment="1" applyProtection="1">
      <alignment/>
      <protection locked="0"/>
    </xf>
    <xf numFmtId="49" fontId="9" fillId="0" borderId="16" xfId="0" applyNumberFormat="1" applyFont="1" applyFill="1" applyBorder="1" applyAlignment="1" applyProtection="1">
      <alignment vertical="center"/>
      <protection/>
    </xf>
    <xf numFmtId="43" fontId="9" fillId="34" borderId="20" xfId="65" applyFont="1" applyFill="1" applyBorder="1" applyAlignment="1" applyProtection="1">
      <alignment vertical="center" wrapText="1"/>
      <protection locked="0"/>
    </xf>
    <xf numFmtId="49" fontId="9" fillId="33" borderId="22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vertical="center"/>
      <protection/>
    </xf>
    <xf numFmtId="43" fontId="9" fillId="0" borderId="17" xfId="65" applyNumberFormat="1" applyFont="1" applyFill="1" applyBorder="1" applyAlignment="1" applyProtection="1">
      <alignment vertical="center" wrapText="1"/>
      <protection/>
    </xf>
    <xf numFmtId="43" fontId="9" fillId="34" borderId="18" xfId="65" applyNumberFormat="1" applyFont="1" applyFill="1" applyBorder="1" applyAlignment="1" applyProtection="1">
      <alignment/>
      <protection locked="0"/>
    </xf>
    <xf numFmtId="43" fontId="9" fillId="0" borderId="18" xfId="65" applyNumberFormat="1" applyFont="1" applyFill="1" applyBorder="1" applyAlignment="1" applyProtection="1">
      <alignment vertical="center" wrapText="1"/>
      <protection/>
    </xf>
    <xf numFmtId="43" fontId="9" fillId="34" borderId="18" xfId="65" applyNumberFormat="1" applyFont="1" applyFill="1" applyBorder="1" applyAlignment="1" applyProtection="1">
      <alignment/>
      <protection locked="0"/>
    </xf>
    <xf numFmtId="43" fontId="9" fillId="34" borderId="19" xfId="65" applyNumberFormat="1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horizontal="center"/>
      <protection/>
    </xf>
    <xf numFmtId="2" fontId="17" fillId="33" borderId="19" xfId="0" applyNumberFormat="1" applyFont="1" applyFill="1" applyBorder="1" applyAlignment="1" applyProtection="1">
      <alignment horizontal="center"/>
      <protection/>
    </xf>
    <xf numFmtId="49" fontId="17" fillId="10" borderId="0" xfId="0" applyNumberFormat="1" applyFont="1" applyFill="1" applyBorder="1" applyAlignment="1" applyProtection="1">
      <alignment/>
      <protection/>
    </xf>
    <xf numFmtId="43" fontId="17" fillId="10" borderId="21" xfId="65" applyFont="1" applyFill="1" applyBorder="1" applyAlignment="1" applyProtection="1">
      <alignment/>
      <protection/>
    </xf>
    <xf numFmtId="49" fontId="9" fillId="4" borderId="12" xfId="0" applyNumberFormat="1" applyFont="1" applyFill="1" applyBorder="1" applyAlignment="1" applyProtection="1">
      <alignment/>
      <protection/>
    </xf>
    <xf numFmtId="43" fontId="9" fillId="4" borderId="13" xfId="65" applyFont="1" applyFill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/>
      <protection/>
    </xf>
    <xf numFmtId="43" fontId="9" fillId="34" borderId="13" xfId="65" applyNumberFormat="1" applyFont="1" applyFill="1" applyBorder="1" applyAlignment="1" applyProtection="1">
      <alignment/>
      <protection locked="0"/>
    </xf>
    <xf numFmtId="49" fontId="17" fillId="10" borderId="12" xfId="0" applyNumberFormat="1" applyFont="1" applyFill="1" applyBorder="1" applyAlignment="1" applyProtection="1">
      <alignment horizontal="left"/>
      <protection/>
    </xf>
    <xf numFmtId="43" fontId="9" fillId="10" borderId="13" xfId="65" applyFont="1" applyFill="1" applyBorder="1" applyAlignment="1" applyProtection="1">
      <alignment/>
      <protection/>
    </xf>
    <xf numFmtId="43" fontId="17" fillId="33" borderId="23" xfId="65" applyFont="1" applyFill="1" applyBorder="1" applyAlignment="1" applyProtection="1">
      <alignment/>
      <protection/>
    </xf>
    <xf numFmtId="0" fontId="17" fillId="33" borderId="20" xfId="0" applyFont="1" applyFill="1" applyBorder="1" applyAlignment="1" applyProtection="1">
      <alignment horizontal="center"/>
      <protection/>
    </xf>
    <xf numFmtId="0" fontId="109" fillId="0" borderId="0" xfId="0" applyFont="1" applyFill="1" applyAlignment="1" applyProtection="1">
      <alignment/>
      <protection/>
    </xf>
    <xf numFmtId="0" fontId="105" fillId="0" borderId="0" xfId="0" applyFont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Fill="1" applyAlignment="1" applyProtection="1">
      <alignment/>
      <protection/>
    </xf>
    <xf numFmtId="0" fontId="17" fillId="33" borderId="19" xfId="0" applyFont="1" applyFill="1" applyBorder="1" applyAlignment="1" applyProtection="1">
      <alignment/>
      <protection/>
    </xf>
    <xf numFmtId="0" fontId="17" fillId="33" borderId="19" xfId="0" applyFont="1" applyFill="1" applyBorder="1" applyAlignment="1" applyProtection="1">
      <alignment horizontal="center"/>
      <protection/>
    </xf>
    <xf numFmtId="0" fontId="9" fillId="10" borderId="12" xfId="0" applyFont="1" applyFill="1" applyBorder="1" applyAlignment="1" applyProtection="1">
      <alignment/>
      <protection/>
    </xf>
    <xf numFmtId="43" fontId="9" fillId="10" borderId="18" xfId="0" applyNumberFormat="1" applyFont="1" applyFill="1" applyBorder="1" applyAlignment="1" applyProtection="1">
      <alignment/>
      <protection/>
    </xf>
    <xf numFmtId="0" fontId="9" fillId="4" borderId="12" xfId="0" applyFont="1" applyFill="1" applyBorder="1" applyAlignment="1" applyProtection="1">
      <alignment/>
      <protection/>
    </xf>
    <xf numFmtId="43" fontId="9" fillId="4" borderId="18" xfId="65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left" indent="2"/>
      <protection/>
    </xf>
    <xf numFmtId="43" fontId="9" fillId="34" borderId="12" xfId="65" applyFont="1" applyFill="1" applyBorder="1" applyAlignment="1" applyProtection="1">
      <alignment/>
      <protection locked="0"/>
    </xf>
    <xf numFmtId="43" fontId="9" fillId="34" borderId="18" xfId="65" applyFont="1" applyFill="1" applyBorder="1" applyAlignment="1" applyProtection="1">
      <alignment/>
      <protection locked="0"/>
    </xf>
    <xf numFmtId="43" fontId="9" fillId="0" borderId="18" xfId="65" applyFont="1" applyFill="1" applyBorder="1" applyAlignment="1" applyProtection="1">
      <alignment/>
      <protection/>
    </xf>
    <xf numFmtId="43" fontId="9" fillId="4" borderId="18" xfId="65" applyFont="1" applyFill="1" applyBorder="1" applyAlignment="1" applyProtection="1">
      <alignment/>
      <protection/>
    </xf>
    <xf numFmtId="43" fontId="9" fillId="0" borderId="13" xfId="65" applyFont="1" applyFill="1" applyBorder="1" applyAlignment="1" applyProtection="1">
      <alignment/>
      <protection/>
    </xf>
    <xf numFmtId="43" fontId="9" fillId="34" borderId="22" xfId="65" applyNumberFormat="1" applyFont="1" applyFill="1" applyBorder="1" applyAlignment="1" applyProtection="1">
      <alignment/>
      <protection locked="0"/>
    </xf>
    <xf numFmtId="0" fontId="9" fillId="37" borderId="22" xfId="0" applyFont="1" applyFill="1" applyBorder="1" applyAlignment="1" applyProtection="1">
      <alignment/>
      <protection/>
    </xf>
    <xf numFmtId="43" fontId="9" fillId="4" borderId="22" xfId="65" applyFont="1" applyFill="1" applyBorder="1" applyAlignment="1" applyProtection="1">
      <alignment/>
      <protection/>
    </xf>
    <xf numFmtId="0" fontId="9" fillId="34" borderId="22" xfId="0" applyFont="1" applyFill="1" applyBorder="1" applyAlignment="1" applyProtection="1">
      <alignment/>
      <protection locked="0"/>
    </xf>
    <xf numFmtId="0" fontId="9" fillId="10" borderId="12" xfId="0" applyFont="1" applyFill="1" applyBorder="1" applyAlignment="1" applyProtection="1">
      <alignment/>
      <protection/>
    </xf>
    <xf numFmtId="0" fontId="9" fillId="34" borderId="18" xfId="0" applyFont="1" applyFill="1" applyBorder="1" applyAlignment="1" applyProtection="1">
      <alignment/>
      <protection locked="0"/>
    </xf>
    <xf numFmtId="43" fontId="9" fillId="10" borderId="18" xfId="65" applyFont="1" applyFill="1" applyBorder="1" applyAlignment="1" applyProtection="1">
      <alignment/>
      <protection/>
    </xf>
    <xf numFmtId="0" fontId="9" fillId="10" borderId="18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vertical="center"/>
      <protection/>
    </xf>
    <xf numFmtId="43" fontId="17" fillId="33" borderId="2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13" fillId="0" borderId="0" xfId="0" applyNumberFormat="1" applyFont="1" applyFill="1" applyAlignment="1" applyProtection="1">
      <alignment/>
      <protection/>
    </xf>
    <xf numFmtId="43" fontId="9" fillId="10" borderId="13" xfId="65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49" fontId="17" fillId="33" borderId="13" xfId="0" applyNumberFormat="1" applyFont="1" applyFill="1" applyBorder="1" applyAlignment="1" applyProtection="1">
      <alignment horizontal="center"/>
      <protection/>
    </xf>
    <xf numFmtId="176" fontId="17" fillId="33" borderId="13" xfId="0" applyNumberFormat="1" applyFont="1" applyFill="1" applyBorder="1" applyAlignment="1" applyProtection="1">
      <alignment horizontal="center"/>
      <protection/>
    </xf>
    <xf numFmtId="49" fontId="17" fillId="33" borderId="20" xfId="0" applyNumberFormat="1" applyFont="1" applyFill="1" applyBorder="1" applyAlignment="1" applyProtection="1">
      <alignment horizontal="center"/>
      <protection/>
    </xf>
    <xf numFmtId="176" fontId="17" fillId="33" borderId="20" xfId="0" applyNumberFormat="1" applyFont="1" applyFill="1" applyBorder="1" applyAlignment="1" applyProtection="1">
      <alignment horizontal="center"/>
      <protection/>
    </xf>
    <xf numFmtId="0" fontId="9" fillId="16" borderId="12" xfId="0" applyFont="1" applyFill="1" applyBorder="1" applyAlignment="1" applyProtection="1">
      <alignment wrapText="1"/>
      <protection/>
    </xf>
    <xf numFmtId="10" fontId="9" fillId="16" borderId="21" xfId="53" applyNumberFormat="1" applyFont="1" applyFill="1" applyBorder="1" applyAlignment="1" applyProtection="1">
      <alignment/>
      <protection/>
    </xf>
    <xf numFmtId="49" fontId="9" fillId="10" borderId="12" xfId="0" applyNumberFormat="1" applyFont="1" applyFill="1" applyBorder="1" applyAlignment="1" applyProtection="1">
      <alignment/>
      <protection/>
    </xf>
    <xf numFmtId="10" fontId="9" fillId="10" borderId="13" xfId="53" applyNumberFormat="1" applyFont="1" applyFill="1" applyBorder="1" applyAlignment="1" applyProtection="1">
      <alignment/>
      <protection/>
    </xf>
    <xf numFmtId="10" fontId="9" fillId="4" borderId="18" xfId="53" applyNumberFormat="1" applyFont="1" applyFill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vertical="center" wrapText="1"/>
      <protection/>
    </xf>
    <xf numFmtId="49" fontId="9" fillId="0" borderId="12" xfId="0" applyNumberFormat="1" applyFont="1" applyFill="1" applyBorder="1" applyAlignment="1" applyProtection="1">
      <alignment wrapText="1"/>
      <protection/>
    </xf>
    <xf numFmtId="49" fontId="9" fillId="0" borderId="12" xfId="0" applyNumberFormat="1" applyFont="1" applyFill="1" applyBorder="1" applyAlignment="1" applyProtection="1">
      <alignment horizontal="left" indent="2"/>
      <protection/>
    </xf>
    <xf numFmtId="0" fontId="23" fillId="0" borderId="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175" fontId="9" fillId="0" borderId="0" xfId="0" applyNumberFormat="1" applyFont="1" applyFill="1" applyBorder="1" applyAlignment="1" applyProtection="1">
      <alignment horizontal="right"/>
      <protection/>
    </xf>
    <xf numFmtId="49" fontId="17" fillId="33" borderId="19" xfId="0" applyNumberFormat="1" applyFont="1" applyFill="1" applyBorder="1" applyAlignment="1" applyProtection="1">
      <alignment horizontal="center"/>
      <protection/>
    </xf>
    <xf numFmtId="43" fontId="9" fillId="16" borderId="17" xfId="65" applyFont="1" applyFill="1" applyBorder="1" applyAlignment="1" applyProtection="1">
      <alignment/>
      <protection/>
    </xf>
    <xf numFmtId="43" fontId="9" fillId="10" borderId="18" xfId="65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 horizontal="justify" vertical="top" wrapText="1"/>
      <protection/>
    </xf>
    <xf numFmtId="0" fontId="9" fillId="0" borderId="12" xfId="0" applyFont="1" applyFill="1" applyBorder="1" applyAlignment="1" applyProtection="1">
      <alignment horizontal="justify" vertical="top" wrapText="1"/>
      <protection/>
    </xf>
    <xf numFmtId="0" fontId="23" fillId="16" borderId="16" xfId="0" applyFont="1" applyFill="1" applyBorder="1" applyAlignment="1" applyProtection="1">
      <alignment horizontal="justify" vertical="top" wrapText="1"/>
      <protection/>
    </xf>
    <xf numFmtId="10" fontId="9" fillId="16" borderId="18" xfId="53" applyNumberFormat="1" applyFont="1" applyFill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/>
      <protection/>
    </xf>
    <xf numFmtId="37" fontId="9" fillId="37" borderId="22" xfId="0" applyNumberFormat="1" applyFont="1" applyFill="1" applyBorder="1" applyAlignment="1" applyProtection="1">
      <alignment horizontal="center"/>
      <protection/>
    </xf>
    <xf numFmtId="0" fontId="9" fillId="16" borderId="15" xfId="0" applyNumberFormat="1" applyFont="1" applyFill="1" applyBorder="1" applyAlignment="1" applyProtection="1">
      <alignment wrapText="1"/>
      <protection/>
    </xf>
    <xf numFmtId="10" fontId="9" fillId="10" borderId="18" xfId="53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/>
    </xf>
    <xf numFmtId="49" fontId="9" fillId="0" borderId="11" xfId="0" applyNumberFormat="1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wrapText="1"/>
      <protection/>
    </xf>
    <xf numFmtId="0" fontId="9" fillId="0" borderId="11" xfId="0" applyFont="1" applyBorder="1" applyAlignment="1" applyProtection="1">
      <alignment horizontal="justify"/>
      <protection/>
    </xf>
    <xf numFmtId="0" fontId="9" fillId="0" borderId="11" xfId="0" applyFont="1" applyBorder="1" applyAlignment="1" applyProtection="1">
      <alignment/>
      <protection/>
    </xf>
    <xf numFmtId="0" fontId="17" fillId="33" borderId="24" xfId="0" applyNumberFormat="1" applyFont="1" applyFill="1" applyBorder="1" applyAlignment="1" applyProtection="1">
      <alignment/>
      <protection/>
    </xf>
    <xf numFmtId="0" fontId="17" fillId="33" borderId="21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17" fillId="33" borderId="13" xfId="0" applyNumberFormat="1" applyFont="1" applyFill="1" applyBorder="1" applyAlignment="1" applyProtection="1">
      <alignment horizontal="center"/>
      <protection/>
    </xf>
    <xf numFmtId="0" fontId="17" fillId="33" borderId="0" xfId="0" applyNumberFormat="1" applyFont="1" applyFill="1" applyBorder="1" applyAlignment="1" applyProtection="1">
      <alignment horizontal="center"/>
      <protection/>
    </xf>
    <xf numFmtId="0" fontId="17" fillId="33" borderId="14" xfId="0" applyNumberFormat="1" applyFont="1" applyFill="1" applyBorder="1" applyAlignment="1" applyProtection="1">
      <alignment/>
      <protection/>
    </xf>
    <xf numFmtId="0" fontId="17" fillId="33" borderId="19" xfId="0" applyNumberFormat="1" applyFont="1" applyFill="1" applyBorder="1" applyAlignment="1" applyProtection="1">
      <alignment horizontal="center"/>
      <protection/>
    </xf>
    <xf numFmtId="0" fontId="17" fillId="33" borderId="20" xfId="0" applyNumberFormat="1" applyFont="1" applyFill="1" applyBorder="1" applyAlignment="1" applyProtection="1">
      <alignment horizontal="center"/>
      <protection/>
    </xf>
    <xf numFmtId="0" fontId="9" fillId="16" borderId="0" xfId="0" applyNumberFormat="1" applyFont="1" applyFill="1" applyBorder="1" applyAlignment="1" applyProtection="1">
      <alignment wrapText="1"/>
      <protection/>
    </xf>
    <xf numFmtId="43" fontId="9" fillId="16" borderId="18" xfId="65" applyFont="1" applyFill="1" applyBorder="1" applyAlignment="1" applyProtection="1">
      <alignment horizontal="center"/>
      <protection/>
    </xf>
    <xf numFmtId="0" fontId="9" fillId="10" borderId="0" xfId="0" applyNumberFormat="1" applyFont="1" applyFill="1" applyBorder="1" applyAlignment="1" applyProtection="1">
      <alignment/>
      <protection/>
    </xf>
    <xf numFmtId="0" fontId="9" fillId="4" borderId="0" xfId="0" applyNumberFormat="1" applyFont="1" applyFill="1" applyBorder="1" applyAlignment="1" applyProtection="1">
      <alignment/>
      <protection/>
    </xf>
    <xf numFmtId="43" fontId="9" fillId="37" borderId="22" xfId="65" applyFont="1" applyFill="1" applyBorder="1" applyAlignment="1" applyProtection="1">
      <alignment horizontal="center"/>
      <protection/>
    </xf>
    <xf numFmtId="43" fontId="9" fillId="10" borderId="22" xfId="65" applyFont="1" applyFill="1" applyBorder="1" applyAlignment="1" applyProtection="1">
      <alignment/>
      <protection/>
    </xf>
    <xf numFmtId="0" fontId="9" fillId="16" borderId="0" xfId="0" applyNumberFormat="1" applyFont="1" applyFill="1" applyBorder="1" applyAlignment="1" applyProtection="1">
      <alignment/>
      <protection/>
    </xf>
    <xf numFmtId="43" fontId="9" fillId="16" borderId="13" xfId="65" applyFont="1" applyFill="1" applyBorder="1" applyAlignment="1" applyProtection="1">
      <alignment/>
      <protection/>
    </xf>
    <xf numFmtId="43" fontId="9" fillId="0" borderId="23" xfId="65" applyFont="1" applyFill="1" applyBorder="1" applyAlignment="1" applyProtection="1">
      <alignment/>
      <protection/>
    </xf>
    <xf numFmtId="0" fontId="9" fillId="10" borderId="15" xfId="0" applyNumberFormat="1" applyFont="1" applyFill="1" applyBorder="1" applyAlignment="1" applyProtection="1">
      <alignment wrapText="1"/>
      <protection/>
    </xf>
    <xf numFmtId="43" fontId="9" fillId="10" borderId="21" xfId="65" applyFont="1" applyFill="1" applyBorder="1" applyAlignment="1" applyProtection="1">
      <alignment/>
      <protection/>
    </xf>
    <xf numFmtId="49" fontId="9" fillId="0" borderId="16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43" fontId="9" fillId="0" borderId="22" xfId="65" applyFont="1" applyFill="1" applyBorder="1" applyAlignment="1" applyProtection="1">
      <alignment/>
      <protection/>
    </xf>
    <xf numFmtId="43" fontId="9" fillId="0" borderId="23" xfId="65" applyFont="1" applyFill="1" applyBorder="1" applyAlignment="1" applyProtection="1">
      <alignment horizontal="center"/>
      <protection locked="0"/>
    </xf>
    <xf numFmtId="0" fontId="9" fillId="33" borderId="14" xfId="0" applyNumberFormat="1" applyFont="1" applyFill="1" applyBorder="1" applyAlignment="1" applyProtection="1">
      <alignment/>
      <protection/>
    </xf>
    <xf numFmtId="43" fontId="9" fillId="33" borderId="20" xfId="65" applyFont="1" applyFill="1" applyBorder="1" applyAlignment="1" applyProtection="1">
      <alignment/>
      <protection/>
    </xf>
    <xf numFmtId="43" fontId="9" fillId="34" borderId="23" xfId="65" applyNumberFormat="1" applyFont="1" applyFill="1" applyBorder="1" applyAlignment="1" applyProtection="1">
      <alignment/>
      <protection/>
    </xf>
    <xf numFmtId="43" fontId="9" fillId="10" borderId="23" xfId="65" applyFont="1" applyFill="1" applyBorder="1" applyAlignment="1" applyProtection="1">
      <alignment/>
      <protection/>
    </xf>
    <xf numFmtId="43" fontId="9" fillId="0" borderId="14" xfId="0" applyNumberFormat="1" applyFont="1" applyFill="1" applyBorder="1" applyAlignment="1" applyProtection="1">
      <alignment/>
      <protection/>
    </xf>
    <xf numFmtId="49" fontId="17" fillId="33" borderId="15" xfId="0" applyNumberFormat="1" applyFont="1" applyFill="1" applyBorder="1" applyAlignment="1" applyProtection="1">
      <alignment wrapText="1"/>
      <protection/>
    </xf>
    <xf numFmtId="0" fontId="17" fillId="33" borderId="12" xfId="0" applyFont="1" applyFill="1" applyBorder="1" applyAlignment="1" applyProtection="1">
      <alignment horizontal="center"/>
      <protection/>
    </xf>
    <xf numFmtId="0" fontId="17" fillId="33" borderId="16" xfId="0" applyFont="1" applyFill="1" applyBorder="1" applyAlignment="1" applyProtection="1">
      <alignment/>
      <protection/>
    </xf>
    <xf numFmtId="49" fontId="17" fillId="33" borderId="20" xfId="0" applyNumberFormat="1" applyFont="1" applyFill="1" applyBorder="1" applyAlignment="1" applyProtection="1">
      <alignment vertical="center"/>
      <protection/>
    </xf>
    <xf numFmtId="49" fontId="17" fillId="33" borderId="16" xfId="0" applyNumberFormat="1" applyFont="1" applyFill="1" applyBorder="1" applyAlignment="1" applyProtection="1">
      <alignment vertical="center"/>
      <protection/>
    </xf>
    <xf numFmtId="0" fontId="9" fillId="16" borderId="15" xfId="0" applyFont="1" applyFill="1" applyBorder="1" applyAlignment="1" applyProtection="1">
      <alignment wrapText="1"/>
      <protection/>
    </xf>
    <xf numFmtId="43" fontId="9" fillId="16" borderId="18" xfId="65" applyFont="1" applyFill="1" applyBorder="1" applyAlignment="1" applyProtection="1">
      <alignment/>
      <protection/>
    </xf>
    <xf numFmtId="43" fontId="17" fillId="34" borderId="18" xfId="65" applyFont="1" applyFill="1" applyBorder="1" applyAlignment="1" applyProtection="1">
      <alignment/>
      <protection locked="0"/>
    </xf>
    <xf numFmtId="0" fontId="113" fillId="0" borderId="0" xfId="0" applyNumberFormat="1" applyFont="1" applyFill="1" applyBorder="1" applyAlignment="1" applyProtection="1">
      <alignment horizontal="center" wrapText="1"/>
      <protection/>
    </xf>
    <xf numFmtId="0" fontId="113" fillId="0" borderId="0" xfId="0" applyNumberFormat="1" applyFont="1" applyFill="1" applyBorder="1" applyAlignment="1" applyProtection="1">
      <alignment wrapText="1"/>
      <protection/>
    </xf>
    <xf numFmtId="49" fontId="17" fillId="33" borderId="17" xfId="0" applyNumberFormat="1" applyFont="1" applyFill="1" applyBorder="1" applyAlignment="1" applyProtection="1">
      <alignment horizontal="center" wrapText="1"/>
      <protection/>
    </xf>
    <xf numFmtId="49" fontId="17" fillId="33" borderId="18" xfId="0" applyNumberFormat="1" applyFont="1" applyFill="1" applyBorder="1" applyAlignment="1" applyProtection="1">
      <alignment horizontal="center"/>
      <protection/>
    </xf>
    <xf numFmtId="0" fontId="23" fillId="0" borderId="16" xfId="0" applyFont="1" applyFill="1" applyBorder="1" applyAlignment="1" applyProtection="1">
      <alignment horizontal="justify" vertical="top" wrapText="1"/>
      <protection/>
    </xf>
    <xf numFmtId="0" fontId="17" fillId="33" borderId="13" xfId="0" applyNumberFormat="1" applyFont="1" applyFill="1" applyBorder="1" applyAlignment="1" applyProtection="1">
      <alignment horizontal="center" wrapText="1"/>
      <protection/>
    </xf>
    <xf numFmtId="0" fontId="17" fillId="33" borderId="19" xfId="0" applyNumberFormat="1" applyFont="1" applyFill="1" applyBorder="1" applyAlignment="1" applyProtection="1">
      <alignment horizontal="center" vertical="center"/>
      <protection/>
    </xf>
    <xf numFmtId="0" fontId="17" fillId="33" borderId="20" xfId="0" applyNumberFormat="1" applyFont="1" applyFill="1" applyBorder="1" applyAlignment="1" applyProtection="1">
      <alignment horizontal="center" vertical="center"/>
      <protection/>
    </xf>
    <xf numFmtId="43" fontId="9" fillId="0" borderId="19" xfId="65" applyFont="1" applyFill="1" applyBorder="1" applyAlignment="1" applyProtection="1">
      <alignment/>
      <protection/>
    </xf>
    <xf numFmtId="43" fontId="9" fillId="10" borderId="17" xfId="65" applyFont="1" applyFill="1" applyBorder="1" applyAlignment="1" applyProtection="1">
      <alignment/>
      <protection/>
    </xf>
    <xf numFmtId="0" fontId="9" fillId="4" borderId="12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43" fontId="9" fillId="34" borderId="14" xfId="65" applyFont="1" applyFill="1" applyBorder="1" applyAlignment="1" applyProtection="1">
      <alignment/>
      <protection locked="0"/>
    </xf>
    <xf numFmtId="43" fontId="9" fillId="34" borderId="19" xfId="65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0" fillId="39" borderId="25" xfId="50" applyFont="1" applyFill="1" applyBorder="1" applyAlignment="1" applyProtection="1">
      <alignment horizontal="center" vertical="center"/>
      <protection/>
    </xf>
    <xf numFmtId="0" fontId="0" fillId="39" borderId="26" xfId="50" applyFill="1" applyBorder="1" applyAlignment="1" applyProtection="1">
      <alignment vertical="center"/>
      <protection/>
    </xf>
    <xf numFmtId="0" fontId="0" fillId="0" borderId="27" xfId="50" applyFont="1" applyBorder="1" applyAlignment="1" applyProtection="1">
      <alignment horizontal="left" vertical="center"/>
      <protection/>
    </xf>
    <xf numFmtId="0" fontId="105" fillId="0" borderId="0" xfId="0" applyFont="1" applyAlignment="1" applyProtection="1">
      <alignment horizontal="center" vertical="center"/>
      <protection/>
    </xf>
    <xf numFmtId="0" fontId="0" fillId="40" borderId="27" xfId="50" applyFont="1" applyFill="1" applyBorder="1" applyAlignment="1" applyProtection="1">
      <alignment horizontal="left" vertical="center"/>
      <protection/>
    </xf>
    <xf numFmtId="0" fontId="83" fillId="40" borderId="27" xfId="50" applyFont="1" applyFill="1" applyBorder="1" applyAlignment="1" applyProtection="1">
      <alignment horizontal="left" vertical="center" wrapText="1"/>
      <protection/>
    </xf>
    <xf numFmtId="0" fontId="114" fillId="41" borderId="27" xfId="50" applyFont="1" applyFill="1" applyBorder="1" applyAlignment="1" applyProtection="1">
      <alignment horizontal="left" vertical="center"/>
      <protection/>
    </xf>
    <xf numFmtId="0" fontId="0" fillId="0" borderId="27" xfId="50" applyFont="1" applyBorder="1" applyAlignment="1" applyProtection="1">
      <alignment horizontal="left" vertical="center" wrapText="1"/>
      <protection/>
    </xf>
    <xf numFmtId="0" fontId="0" fillId="40" borderId="28" xfId="50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105" fillId="0" borderId="0" xfId="0" applyFont="1" applyAlignment="1" applyProtection="1">
      <alignment vertical="center"/>
      <protection/>
    </xf>
    <xf numFmtId="43" fontId="9" fillId="34" borderId="18" xfId="65" applyNumberFormat="1" applyFont="1" applyFill="1" applyBorder="1" applyAlignment="1" applyProtection="1" quotePrefix="1">
      <alignment vertical="center"/>
      <protection locked="0"/>
    </xf>
    <xf numFmtId="0" fontId="0" fillId="2" borderId="0" xfId="50" applyFill="1" applyBorder="1" applyAlignment="1" applyProtection="1">
      <alignment vertical="center"/>
      <protection locked="0"/>
    </xf>
    <xf numFmtId="0" fontId="0" fillId="0" borderId="0" xfId="50" applyBorder="1" applyAlignment="1" applyProtection="1">
      <alignment vertical="center"/>
      <protection locked="0"/>
    </xf>
    <xf numFmtId="14" fontId="0" fillId="34" borderId="0" xfId="50" applyNumberFormat="1" applyFill="1" applyBorder="1" applyAlignment="1" applyProtection="1">
      <alignment vertical="center"/>
      <protection locked="0"/>
    </xf>
    <xf numFmtId="14" fontId="0" fillId="42" borderId="0" xfId="50" applyNumberFormat="1" applyFill="1" applyBorder="1" applyAlignment="1" applyProtection="1">
      <alignment vertical="center"/>
      <protection locked="0"/>
    </xf>
    <xf numFmtId="14" fontId="0" fillId="2" borderId="0" xfId="50" applyNumberFormat="1" applyFill="1" applyBorder="1" applyAlignment="1" applyProtection="1">
      <alignment vertical="center"/>
      <protection locked="0"/>
    </xf>
    <xf numFmtId="0" fontId="0" fillId="0" borderId="29" xfId="50" applyBorder="1" applyAlignment="1" applyProtection="1">
      <alignment vertical="center"/>
      <protection locked="0"/>
    </xf>
    <xf numFmtId="0" fontId="28" fillId="0" borderId="0" xfId="50" applyFont="1" applyBorder="1" applyAlignment="1" applyProtection="1">
      <alignment horizontal="center" vertical="center"/>
      <protection/>
    </xf>
    <xf numFmtId="0" fontId="29" fillId="0" borderId="2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2" fillId="42" borderId="0" xfId="5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7" fillId="33" borderId="23" xfId="0" applyFont="1" applyFill="1" applyBorder="1" applyAlignment="1" applyProtection="1">
      <alignment horizontal="center"/>
      <protection/>
    </xf>
    <xf numFmtId="0" fontId="17" fillId="33" borderId="11" xfId="0" applyFont="1" applyFill="1" applyBorder="1" applyAlignment="1" applyProtection="1">
      <alignment horizontal="center"/>
      <protection/>
    </xf>
    <xf numFmtId="0" fontId="17" fillId="33" borderId="10" xfId="0" applyFont="1" applyFill="1" applyBorder="1" applyAlignment="1" applyProtection="1">
      <alignment horizontal="center"/>
      <protection/>
    </xf>
    <xf numFmtId="0" fontId="18" fillId="33" borderId="15" xfId="0" applyFont="1" applyFill="1" applyBorder="1" applyAlignment="1" applyProtection="1">
      <alignment horizontal="center" vertical="center"/>
      <protection/>
    </xf>
    <xf numFmtId="0" fontId="18" fillId="33" borderId="12" xfId="0" applyFont="1" applyFill="1" applyBorder="1" applyAlignment="1" applyProtection="1">
      <alignment horizontal="center" vertical="center"/>
      <protection/>
    </xf>
    <xf numFmtId="0" fontId="18" fillId="33" borderId="16" xfId="0" applyFont="1" applyFill="1" applyBorder="1" applyAlignment="1" applyProtection="1">
      <alignment horizontal="center" vertical="center"/>
      <protection/>
    </xf>
    <xf numFmtId="49" fontId="17" fillId="33" borderId="13" xfId="0" applyNumberFormat="1" applyFont="1" applyFill="1" applyBorder="1" applyAlignment="1" applyProtection="1">
      <alignment horizontal="center"/>
      <protection/>
    </xf>
    <xf numFmtId="49" fontId="17" fillId="33" borderId="12" xfId="0" applyNumberFormat="1" applyFont="1" applyFill="1" applyBorder="1" applyAlignment="1" applyProtection="1">
      <alignment horizontal="center"/>
      <protection/>
    </xf>
    <xf numFmtId="49" fontId="17" fillId="33" borderId="21" xfId="0" applyNumberFormat="1" applyFont="1" applyFill="1" applyBorder="1" applyAlignment="1" applyProtection="1">
      <alignment horizontal="center"/>
      <protection/>
    </xf>
    <xf numFmtId="49" fontId="17" fillId="33" borderId="15" xfId="0" applyNumberFormat="1" applyFont="1" applyFill="1" applyBorder="1" applyAlignment="1" applyProtection="1">
      <alignment horizontal="center"/>
      <protection/>
    </xf>
    <xf numFmtId="49" fontId="17" fillId="33" borderId="20" xfId="0" applyNumberFormat="1" applyFont="1" applyFill="1" applyBorder="1" applyAlignment="1" applyProtection="1">
      <alignment horizontal="center"/>
      <protection/>
    </xf>
    <xf numFmtId="49" fontId="17" fillId="33" borderId="16" xfId="0" applyNumberFormat="1" applyFont="1" applyFill="1" applyBorder="1" applyAlignment="1" applyProtection="1">
      <alignment horizontal="center"/>
      <protection/>
    </xf>
    <xf numFmtId="43" fontId="9" fillId="16" borderId="21" xfId="65" applyFont="1" applyFill="1" applyBorder="1" applyAlignment="1" applyProtection="1">
      <alignment horizontal="center"/>
      <protection/>
    </xf>
    <xf numFmtId="43" fontId="9" fillId="16" borderId="15" xfId="65" applyFont="1" applyFill="1" applyBorder="1" applyAlignment="1" applyProtection="1">
      <alignment horizontal="center"/>
      <protection/>
    </xf>
    <xf numFmtId="43" fontId="9" fillId="10" borderId="13" xfId="65" applyFont="1" applyFill="1" applyBorder="1" applyAlignment="1" applyProtection="1">
      <alignment horizontal="center"/>
      <protection/>
    </xf>
    <xf numFmtId="43" fontId="9" fillId="10" borderId="12" xfId="65" applyFont="1" applyFill="1" applyBorder="1" applyAlignment="1" applyProtection="1">
      <alignment horizontal="center"/>
      <protection/>
    </xf>
    <xf numFmtId="43" fontId="9" fillId="4" borderId="13" xfId="65" applyFont="1" applyFill="1" applyBorder="1" applyAlignment="1" applyProtection="1">
      <alignment horizontal="center"/>
      <protection/>
    </xf>
    <xf numFmtId="43" fontId="9" fillId="4" borderId="12" xfId="65" applyFont="1" applyFill="1" applyBorder="1" applyAlignment="1" applyProtection="1">
      <alignment horizontal="center"/>
      <protection/>
    </xf>
    <xf numFmtId="43" fontId="9" fillId="34" borderId="13" xfId="65" applyFont="1" applyFill="1" applyBorder="1" applyAlignment="1" applyProtection="1">
      <alignment horizontal="center"/>
      <protection locked="0"/>
    </xf>
    <xf numFmtId="43" fontId="9" fillId="34" borderId="12" xfId="65" applyFont="1" applyFill="1" applyBorder="1" applyAlignment="1" applyProtection="1">
      <alignment horizontal="center"/>
      <protection locked="0"/>
    </xf>
    <xf numFmtId="43" fontId="9" fillId="34" borderId="13" xfId="65" applyFont="1" applyFill="1" applyBorder="1" applyAlignment="1" applyProtection="1">
      <alignment horizontal="center" vertical="center"/>
      <protection locked="0"/>
    </xf>
    <xf numFmtId="43" fontId="9" fillId="34" borderId="12" xfId="65" applyFont="1" applyFill="1" applyBorder="1" applyAlignment="1" applyProtection="1">
      <alignment horizontal="center" vertical="center"/>
      <protection locked="0"/>
    </xf>
    <xf numFmtId="43" fontId="9" fillId="16" borderId="20" xfId="65" applyFont="1" applyFill="1" applyBorder="1" applyAlignment="1" applyProtection="1">
      <alignment horizontal="center"/>
      <protection/>
    </xf>
    <xf numFmtId="43" fontId="9" fillId="16" borderId="16" xfId="65" applyFont="1" applyFill="1" applyBorder="1" applyAlignment="1" applyProtection="1">
      <alignment horizontal="center"/>
      <protection/>
    </xf>
    <xf numFmtId="43" fontId="9" fillId="0" borderId="23" xfId="65" applyFont="1" applyFill="1" applyBorder="1" applyAlignment="1" applyProtection="1">
      <alignment horizontal="center"/>
      <protection/>
    </xf>
    <xf numFmtId="43" fontId="9" fillId="0" borderId="10" xfId="65" applyFont="1" applyFill="1" applyBorder="1" applyAlignment="1" applyProtection="1">
      <alignment horizontal="center"/>
      <protection/>
    </xf>
    <xf numFmtId="43" fontId="9" fillId="16" borderId="13" xfId="65" applyFont="1" applyFill="1" applyBorder="1" applyAlignment="1" applyProtection="1">
      <alignment horizontal="center"/>
      <protection/>
    </xf>
    <xf numFmtId="43" fontId="9" fillId="16" borderId="12" xfId="65" applyFont="1" applyFill="1" applyBorder="1" applyAlignment="1" applyProtection="1">
      <alignment horizontal="center"/>
      <protection/>
    </xf>
    <xf numFmtId="43" fontId="9" fillId="37" borderId="23" xfId="65" applyFont="1" applyFill="1" applyBorder="1" applyAlignment="1" applyProtection="1">
      <alignment horizontal="center"/>
      <protection/>
    </xf>
    <xf numFmtId="43" fontId="9" fillId="37" borderId="10" xfId="65" applyFont="1" applyFill="1" applyBorder="1" applyAlignment="1" applyProtection="1">
      <alignment horizontal="center"/>
      <protection/>
    </xf>
    <xf numFmtId="43" fontId="9" fillId="0" borderId="23" xfId="65" applyFont="1" applyFill="1" applyBorder="1" applyAlignment="1" applyProtection="1">
      <alignment horizontal="center"/>
      <protection locked="0"/>
    </xf>
    <xf numFmtId="43" fontId="9" fillId="0" borderId="10" xfId="65" applyFont="1" applyFill="1" applyBorder="1" applyAlignment="1" applyProtection="1">
      <alignment horizontal="center"/>
      <protection locked="0"/>
    </xf>
    <xf numFmtId="43" fontId="9" fillId="33" borderId="23" xfId="65" applyFont="1" applyFill="1" applyBorder="1" applyAlignment="1" applyProtection="1">
      <alignment horizontal="center"/>
      <protection/>
    </xf>
    <xf numFmtId="43" fontId="9" fillId="33" borderId="10" xfId="65" applyFont="1" applyFill="1" applyBorder="1" applyAlignment="1" applyProtection="1">
      <alignment horizontal="center"/>
      <protection/>
    </xf>
    <xf numFmtId="43" fontId="9" fillId="34" borderId="23" xfId="65" applyFont="1" applyFill="1" applyBorder="1" applyAlignment="1" applyProtection="1">
      <alignment horizontal="center"/>
      <protection locked="0"/>
    </xf>
    <xf numFmtId="43" fontId="9" fillId="34" borderId="10" xfId="65" applyFont="1" applyFill="1" applyBorder="1" applyAlignment="1" applyProtection="1">
      <alignment horizontal="center"/>
      <protection locked="0"/>
    </xf>
    <xf numFmtId="43" fontId="9" fillId="34" borderId="23" xfId="65" applyFont="1" applyFill="1" applyBorder="1" applyAlignment="1" applyProtection="1">
      <alignment horizontal="center" vertical="center"/>
      <protection locked="0"/>
    </xf>
    <xf numFmtId="43" fontId="9" fillId="34" borderId="10" xfId="65" applyFont="1" applyFill="1" applyBorder="1" applyAlignment="1" applyProtection="1">
      <alignment horizontal="center" vertical="center"/>
      <protection locked="0"/>
    </xf>
    <xf numFmtId="0" fontId="17" fillId="33" borderId="23" xfId="0" applyNumberFormat="1" applyFont="1" applyFill="1" applyBorder="1" applyAlignment="1" applyProtection="1">
      <alignment horizontal="center"/>
      <protection/>
    </xf>
    <xf numFmtId="0" fontId="17" fillId="33" borderId="10" xfId="0" applyNumberFormat="1" applyFont="1" applyFill="1" applyBorder="1" applyAlignment="1" applyProtection="1">
      <alignment horizontal="center"/>
      <protection/>
    </xf>
    <xf numFmtId="0" fontId="17" fillId="33" borderId="20" xfId="50" applyNumberFormat="1" applyFont="1" applyFill="1" applyBorder="1" applyAlignment="1" applyProtection="1">
      <alignment horizontal="center" vertical="center" wrapText="1"/>
      <protection/>
    </xf>
    <xf numFmtId="0" fontId="17" fillId="33" borderId="16" xfId="50" applyNumberFormat="1" applyFont="1" applyFill="1" applyBorder="1" applyAlignment="1" applyProtection="1">
      <alignment horizontal="center" vertical="center" wrapText="1"/>
      <protection/>
    </xf>
    <xf numFmtId="43" fontId="9" fillId="16" borderId="17" xfId="65" applyFont="1" applyFill="1" applyBorder="1" applyAlignment="1" applyProtection="1">
      <alignment horizontal="center"/>
      <protection/>
    </xf>
    <xf numFmtId="43" fontId="17" fillId="34" borderId="13" xfId="65" applyFont="1" applyFill="1" applyBorder="1" applyAlignment="1" applyProtection="1">
      <alignment horizontal="center"/>
      <protection locked="0"/>
    </xf>
    <xf numFmtId="43" fontId="17" fillId="34" borderId="12" xfId="65" applyFont="1" applyFill="1" applyBorder="1" applyAlignment="1" applyProtection="1">
      <alignment horizontal="center"/>
      <protection locked="0"/>
    </xf>
    <xf numFmtId="0" fontId="17" fillId="33" borderId="17" xfId="0" applyNumberFormat="1" applyFont="1" applyFill="1" applyBorder="1" applyAlignment="1" applyProtection="1">
      <alignment horizontal="center" wrapText="1"/>
      <protection/>
    </xf>
    <xf numFmtId="0" fontId="17" fillId="33" borderId="18" xfId="0" applyNumberFormat="1" applyFont="1" applyFill="1" applyBorder="1" applyAlignment="1" applyProtection="1">
      <alignment horizontal="center" wrapText="1"/>
      <protection/>
    </xf>
    <xf numFmtId="0" fontId="17" fillId="33" borderId="17" xfId="0" applyNumberFormat="1" applyFont="1" applyFill="1" applyBorder="1" applyAlignment="1" applyProtection="1">
      <alignment horizontal="center" vertical="center" wrapText="1"/>
      <protection/>
    </xf>
    <xf numFmtId="0" fontId="17" fillId="33" borderId="18" xfId="0" applyNumberFormat="1" applyFont="1" applyFill="1" applyBorder="1" applyAlignment="1" applyProtection="1">
      <alignment horizontal="center" vertical="center" wrapText="1"/>
      <protection/>
    </xf>
    <xf numFmtId="0" fontId="17" fillId="33" borderId="19" xfId="0" applyNumberFormat="1" applyFont="1" applyFill="1" applyBorder="1" applyAlignment="1" applyProtection="1">
      <alignment horizontal="center" vertical="center" wrapText="1"/>
      <protection/>
    </xf>
    <xf numFmtId="0" fontId="17" fillId="33" borderId="17" xfId="0" applyNumberFormat="1" applyFont="1" applyFill="1" applyBorder="1" applyAlignment="1" applyProtection="1">
      <alignment horizontal="center" vertical="center"/>
      <protection/>
    </xf>
    <xf numFmtId="0" fontId="17" fillId="33" borderId="18" xfId="0" applyNumberFormat="1" applyFont="1" applyFill="1" applyBorder="1" applyAlignment="1" applyProtection="1">
      <alignment horizontal="center" vertical="center"/>
      <protection/>
    </xf>
    <xf numFmtId="43" fontId="9" fillId="0" borderId="22" xfId="65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7" fillId="33" borderId="23" xfId="0" applyFont="1" applyFill="1" applyBorder="1" applyAlignment="1" applyProtection="1">
      <alignment horizontal="center" wrapText="1"/>
      <protection/>
    </xf>
    <xf numFmtId="0" fontId="17" fillId="33" borderId="11" xfId="0" applyFont="1" applyFill="1" applyBorder="1" applyAlignment="1" applyProtection="1">
      <alignment horizontal="center" wrapText="1"/>
      <protection/>
    </xf>
    <xf numFmtId="0" fontId="17" fillId="33" borderId="10" xfId="0" applyFont="1" applyFill="1" applyBorder="1" applyAlignment="1" applyProtection="1">
      <alignment horizontal="center" wrapText="1"/>
      <protection/>
    </xf>
    <xf numFmtId="43" fontId="9" fillId="34" borderId="20" xfId="65" applyFont="1" applyFill="1" applyBorder="1" applyAlignment="1" applyProtection="1">
      <alignment horizontal="center"/>
      <protection locked="0"/>
    </xf>
    <xf numFmtId="43" fontId="9" fillId="34" borderId="16" xfId="65" applyFont="1" applyFill="1" applyBorder="1" applyAlignment="1" applyProtection="1">
      <alignment horizontal="center"/>
      <protection locked="0"/>
    </xf>
    <xf numFmtId="43" fontId="9" fillId="10" borderId="21" xfId="65" applyFont="1" applyFill="1" applyBorder="1" applyAlignment="1" applyProtection="1">
      <alignment horizontal="center"/>
      <protection/>
    </xf>
    <xf numFmtId="43" fontId="9" fillId="10" borderId="15" xfId="65" applyFont="1" applyFill="1" applyBorder="1" applyAlignment="1" applyProtection="1">
      <alignment horizontal="center"/>
      <protection/>
    </xf>
    <xf numFmtId="43" fontId="9" fillId="4" borderId="18" xfId="65" applyFont="1" applyFill="1" applyBorder="1" applyAlignment="1" applyProtection="1">
      <alignment horizontal="center"/>
      <protection/>
    </xf>
    <xf numFmtId="0" fontId="17" fillId="33" borderId="15" xfId="0" applyNumberFormat="1" applyFont="1" applyFill="1" applyBorder="1" applyAlignment="1" applyProtection="1">
      <alignment horizontal="center" vertical="center"/>
      <protection/>
    </xf>
    <xf numFmtId="0" fontId="17" fillId="33" borderId="12" xfId="0" applyNumberFormat="1" applyFont="1" applyFill="1" applyBorder="1" applyAlignment="1" applyProtection="1">
      <alignment horizontal="center" vertical="center"/>
      <protection/>
    </xf>
    <xf numFmtId="0" fontId="17" fillId="33" borderId="16" xfId="0" applyNumberFormat="1" applyFont="1" applyFill="1" applyBorder="1" applyAlignment="1" applyProtection="1">
      <alignment horizontal="center" vertical="center"/>
      <protection/>
    </xf>
    <xf numFmtId="0" fontId="17" fillId="33" borderId="23" xfId="0" applyNumberFormat="1" applyFont="1" applyFill="1" applyBorder="1" applyAlignment="1" applyProtection="1">
      <alignment horizontal="center" vertical="center" wrapText="1"/>
      <protection/>
    </xf>
    <xf numFmtId="0" fontId="17" fillId="33" borderId="10" xfId="0" applyNumberFormat="1" applyFont="1" applyFill="1" applyBorder="1" applyAlignment="1" applyProtection="1">
      <alignment horizontal="center" vertical="center" wrapText="1"/>
      <protection/>
    </xf>
    <xf numFmtId="49" fontId="17" fillId="33" borderId="17" xfId="0" applyNumberFormat="1" applyFont="1" applyFill="1" applyBorder="1" applyAlignment="1" applyProtection="1">
      <alignment horizontal="center" vertical="center"/>
      <protection/>
    </xf>
    <xf numFmtId="49" fontId="17" fillId="33" borderId="18" xfId="0" applyNumberFormat="1" applyFont="1" applyFill="1" applyBorder="1" applyAlignment="1" applyProtection="1">
      <alignment horizontal="center" vertical="center"/>
      <protection/>
    </xf>
    <xf numFmtId="49" fontId="17" fillId="33" borderId="21" xfId="0" applyNumberFormat="1" applyFont="1" applyFill="1" applyBorder="1" applyAlignment="1" applyProtection="1">
      <alignment horizontal="center" vertical="center" wrapText="1"/>
      <protection/>
    </xf>
    <xf numFmtId="49" fontId="17" fillId="33" borderId="15" xfId="0" applyNumberFormat="1" applyFont="1" applyFill="1" applyBorder="1" applyAlignment="1" applyProtection="1">
      <alignment horizontal="center" vertical="center" wrapText="1"/>
      <protection/>
    </xf>
    <xf numFmtId="49" fontId="17" fillId="33" borderId="13" xfId="0" applyNumberFormat="1" applyFont="1" applyFill="1" applyBorder="1" applyAlignment="1" applyProtection="1">
      <alignment horizontal="center" vertical="center" wrapText="1"/>
      <protection/>
    </xf>
    <xf numFmtId="49" fontId="17" fillId="33" borderId="12" xfId="0" applyNumberFormat="1" applyFont="1" applyFill="1" applyBorder="1" applyAlignment="1" applyProtection="1">
      <alignment horizontal="center" vertical="center" wrapText="1"/>
      <protection/>
    </xf>
    <xf numFmtId="49" fontId="17" fillId="33" borderId="20" xfId="0" applyNumberFormat="1" applyFont="1" applyFill="1" applyBorder="1" applyAlignment="1" applyProtection="1">
      <alignment horizontal="center" vertical="center" wrapText="1"/>
      <protection/>
    </xf>
    <xf numFmtId="49" fontId="17" fillId="33" borderId="16" xfId="0" applyNumberFormat="1" applyFont="1" applyFill="1" applyBorder="1" applyAlignment="1" applyProtection="1">
      <alignment horizontal="center" vertical="center" wrapText="1"/>
      <protection/>
    </xf>
    <xf numFmtId="0" fontId="17" fillId="33" borderId="21" xfId="50" applyNumberFormat="1" applyFont="1" applyFill="1" applyBorder="1" applyAlignment="1" applyProtection="1">
      <alignment horizontal="center" vertical="center" wrapText="1"/>
      <protection/>
    </xf>
    <xf numFmtId="0" fontId="17" fillId="33" borderId="15" xfId="50" applyNumberFormat="1" applyFont="1" applyFill="1" applyBorder="1" applyAlignment="1" applyProtection="1">
      <alignment horizontal="center" vertical="center" wrapText="1"/>
      <protection/>
    </xf>
    <xf numFmtId="0" fontId="17" fillId="33" borderId="13" xfId="50" applyNumberFormat="1" applyFont="1" applyFill="1" applyBorder="1" applyAlignment="1" applyProtection="1">
      <alignment horizontal="center" vertical="center" wrapText="1"/>
      <protection/>
    </xf>
    <xf numFmtId="0" fontId="17" fillId="33" borderId="12" xfId="5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49" fontId="17" fillId="0" borderId="0" xfId="0" applyNumberFormat="1" applyFont="1" applyFill="1" applyAlignment="1" applyProtection="1">
      <alignment horizontal="center"/>
      <protection/>
    </xf>
    <xf numFmtId="0" fontId="115" fillId="0" borderId="0" xfId="0" applyFont="1" applyFill="1" applyBorder="1" applyAlignment="1" applyProtection="1">
      <alignment horizontal="left" vertical="center" wrapText="1"/>
      <protection/>
    </xf>
    <xf numFmtId="0" fontId="18" fillId="33" borderId="15" xfId="0" applyFont="1" applyFill="1" applyBorder="1" applyAlignment="1" applyProtection="1">
      <alignment horizontal="center" vertical="center" wrapText="1"/>
      <protection/>
    </xf>
    <xf numFmtId="0" fontId="18" fillId="33" borderId="12" xfId="0" applyFont="1" applyFill="1" applyBorder="1" applyAlignment="1" applyProtection="1">
      <alignment horizontal="center" vertical="center" wrapText="1"/>
      <protection/>
    </xf>
    <xf numFmtId="0" fontId="18" fillId="33" borderId="16" xfId="0" applyFont="1" applyFill="1" applyBorder="1" applyAlignment="1" applyProtection="1">
      <alignment horizontal="center" vertical="center" wrapText="1"/>
      <protection/>
    </xf>
    <xf numFmtId="0" fontId="17" fillId="33" borderId="17" xfId="0" applyFont="1" applyFill="1" applyBorder="1" applyAlignment="1" applyProtection="1">
      <alignment horizontal="center" vertical="center"/>
      <protection/>
    </xf>
    <xf numFmtId="0" fontId="17" fillId="33" borderId="19" xfId="0" applyFont="1" applyFill="1" applyBorder="1" applyAlignment="1" applyProtection="1">
      <alignment horizontal="center" vertical="center"/>
      <protection/>
    </xf>
    <xf numFmtId="0" fontId="17" fillId="33" borderId="17" xfId="50" applyNumberFormat="1" applyFont="1" applyFill="1" applyBorder="1" applyAlignment="1" applyProtection="1">
      <alignment horizontal="center" wrapText="1"/>
      <protection/>
    </xf>
    <xf numFmtId="0" fontId="17" fillId="33" borderId="18" xfId="50" applyNumberFormat="1" applyFont="1" applyFill="1" applyBorder="1" applyAlignment="1" applyProtection="1">
      <alignment horizontal="center" wrapText="1"/>
      <protection/>
    </xf>
    <xf numFmtId="0" fontId="17" fillId="33" borderId="19" xfId="50" applyNumberFormat="1" applyFont="1" applyFill="1" applyBorder="1" applyAlignment="1" applyProtection="1">
      <alignment horizontal="center" wrapText="1"/>
      <protection/>
    </xf>
    <xf numFmtId="0" fontId="9" fillId="0" borderId="0" xfId="50" applyNumberFormat="1" applyFont="1" applyFill="1" applyBorder="1" applyAlignment="1" applyProtection="1">
      <alignment horizontal="center" wrapText="1"/>
      <protection/>
    </xf>
    <xf numFmtId="0" fontId="17" fillId="33" borderId="23" xfId="0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21" xfId="0" applyFont="1" applyFill="1" applyBorder="1" applyAlignment="1" applyProtection="1">
      <alignment horizontal="center" vertical="center"/>
      <protection/>
    </xf>
    <xf numFmtId="0" fontId="17" fillId="33" borderId="24" xfId="0" applyFont="1" applyFill="1" applyBorder="1" applyAlignment="1" applyProtection="1">
      <alignment horizontal="center" vertical="center"/>
      <protection/>
    </xf>
    <xf numFmtId="0" fontId="17" fillId="33" borderId="15" xfId="0" applyFont="1" applyFill="1" applyBorder="1" applyAlignment="1" applyProtection="1">
      <alignment horizontal="center" vertical="center"/>
      <protection/>
    </xf>
    <xf numFmtId="0" fontId="17" fillId="33" borderId="12" xfId="0" applyFont="1" applyFill="1" applyBorder="1" applyAlignment="1" applyProtection="1">
      <alignment horizontal="center" vertical="center"/>
      <protection/>
    </xf>
    <xf numFmtId="0" fontId="17" fillId="33" borderId="16" xfId="0" applyFont="1" applyFill="1" applyBorder="1" applyAlignment="1" applyProtection="1">
      <alignment horizontal="center" vertical="center"/>
      <protection/>
    </xf>
    <xf numFmtId="49" fontId="24" fillId="33" borderId="17" xfId="0" applyNumberFormat="1" applyFont="1" applyFill="1" applyBorder="1" applyAlignment="1" applyProtection="1">
      <alignment horizontal="center" vertical="center" wrapText="1"/>
      <protection/>
    </xf>
    <xf numFmtId="49" fontId="24" fillId="33" borderId="18" xfId="0" applyNumberFormat="1" applyFont="1" applyFill="1" applyBorder="1" applyAlignment="1" applyProtection="1">
      <alignment horizontal="center" vertical="center" wrapText="1"/>
      <protection/>
    </xf>
    <xf numFmtId="49" fontId="24" fillId="33" borderId="19" xfId="0" applyNumberFormat="1" applyFont="1" applyFill="1" applyBorder="1" applyAlignment="1" applyProtection="1">
      <alignment horizontal="center" vertical="center" wrapText="1"/>
      <protection/>
    </xf>
    <xf numFmtId="0" fontId="24" fillId="33" borderId="21" xfId="0" applyFont="1" applyFill="1" applyBorder="1" applyAlignment="1" applyProtection="1">
      <alignment horizontal="center" vertical="center" wrapText="1"/>
      <protection/>
    </xf>
    <xf numFmtId="0" fontId="24" fillId="33" borderId="13" xfId="0" applyFont="1" applyFill="1" applyBorder="1" applyAlignment="1" applyProtection="1">
      <alignment horizontal="center" vertical="center" wrapText="1"/>
      <protection/>
    </xf>
    <xf numFmtId="37" fontId="17" fillId="33" borderId="21" xfId="0" applyNumberFormat="1" applyFont="1" applyFill="1" applyBorder="1" applyAlignment="1" applyProtection="1">
      <alignment horizontal="center" vertical="center"/>
      <protection/>
    </xf>
    <xf numFmtId="37" fontId="17" fillId="33" borderId="24" xfId="0" applyNumberFormat="1" applyFont="1" applyFill="1" applyBorder="1" applyAlignment="1" applyProtection="1">
      <alignment horizontal="center" vertical="center"/>
      <protection/>
    </xf>
    <xf numFmtId="37" fontId="17" fillId="33" borderId="15" xfId="0" applyNumberFormat="1" applyFont="1" applyFill="1" applyBorder="1" applyAlignment="1" applyProtection="1">
      <alignment horizontal="center" vertical="center"/>
      <protection/>
    </xf>
    <xf numFmtId="0" fontId="17" fillId="33" borderId="20" xfId="0" applyFont="1" applyFill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Alignment="1" applyProtection="1">
      <alignment horizontal="left"/>
      <protection/>
    </xf>
    <xf numFmtId="0" fontId="17" fillId="33" borderId="23" xfId="0" applyFont="1" applyFill="1" applyBorder="1" applyAlignment="1" applyProtection="1">
      <alignment horizontal="center" vertical="center" wrapText="1"/>
      <protection/>
    </xf>
    <xf numFmtId="0" fontId="17" fillId="33" borderId="11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7" fillId="33" borderId="20" xfId="0" applyNumberFormat="1" applyFont="1" applyFill="1" applyBorder="1" applyAlignment="1" applyProtection="1">
      <alignment horizontal="center" vertical="center" wrapText="1"/>
      <protection/>
    </xf>
    <xf numFmtId="0" fontId="17" fillId="33" borderId="16" xfId="0" applyNumberFormat="1" applyFont="1" applyFill="1" applyBorder="1" applyAlignment="1" applyProtection="1">
      <alignment horizontal="center" vertical="center" wrapText="1"/>
      <protection/>
    </xf>
    <xf numFmtId="0" fontId="17" fillId="33" borderId="20" xfId="0" applyFont="1" applyFill="1" applyBorder="1" applyAlignment="1" applyProtection="1">
      <alignment horizontal="center" vertical="center" wrapText="1"/>
      <protection/>
    </xf>
    <xf numFmtId="0" fontId="17" fillId="33" borderId="16" xfId="0" applyFont="1" applyFill="1" applyBorder="1" applyAlignment="1" applyProtection="1">
      <alignment horizontal="center" vertical="center" wrapText="1"/>
      <protection/>
    </xf>
    <xf numFmtId="43" fontId="9" fillId="16" borderId="13" xfId="65" applyFont="1" applyFill="1" applyBorder="1" applyAlignment="1" applyProtection="1">
      <alignment horizontal="center" wrapText="1"/>
      <protection/>
    </xf>
    <xf numFmtId="43" fontId="9" fillId="16" borderId="0" xfId="65" applyFont="1" applyFill="1" applyBorder="1" applyAlignment="1" applyProtection="1">
      <alignment horizontal="center" wrapText="1"/>
      <protection/>
    </xf>
    <xf numFmtId="43" fontId="9" fillId="16" borderId="12" xfId="65" applyFont="1" applyFill="1" applyBorder="1" applyAlignment="1" applyProtection="1">
      <alignment horizontal="center" wrapText="1"/>
      <protection/>
    </xf>
    <xf numFmtId="43" fontId="9" fillId="10" borderId="13" xfId="65" applyFont="1" applyFill="1" applyBorder="1" applyAlignment="1" applyProtection="1">
      <alignment horizontal="center" wrapText="1"/>
      <protection/>
    </xf>
    <xf numFmtId="43" fontId="9" fillId="10" borderId="0" xfId="65" applyFont="1" applyFill="1" applyBorder="1" applyAlignment="1" applyProtection="1">
      <alignment horizontal="center" wrapText="1"/>
      <protection/>
    </xf>
    <xf numFmtId="43" fontId="9" fillId="10" borderId="12" xfId="65" applyFont="1" applyFill="1" applyBorder="1" applyAlignment="1" applyProtection="1">
      <alignment horizontal="center" wrapText="1"/>
      <protection/>
    </xf>
    <xf numFmtId="43" fontId="9" fillId="4" borderId="13" xfId="65" applyFont="1" applyFill="1" applyBorder="1" applyAlignment="1" applyProtection="1">
      <alignment horizontal="center" wrapText="1"/>
      <protection/>
    </xf>
    <xf numFmtId="43" fontId="9" fillId="4" borderId="0" xfId="65" applyFont="1" applyFill="1" applyBorder="1" applyAlignment="1" applyProtection="1">
      <alignment horizontal="center" wrapText="1"/>
      <protection/>
    </xf>
    <xf numFmtId="43" fontId="9" fillId="4" borderId="12" xfId="65" applyFont="1" applyFill="1" applyBorder="1" applyAlignment="1" applyProtection="1">
      <alignment horizontal="center" wrapText="1"/>
      <protection/>
    </xf>
    <xf numFmtId="43" fontId="9" fillId="34" borderId="13" xfId="65" applyFont="1" applyFill="1" applyBorder="1" applyAlignment="1" applyProtection="1">
      <alignment horizontal="center" wrapText="1"/>
      <protection locked="0"/>
    </xf>
    <xf numFmtId="43" fontId="9" fillId="34" borderId="0" xfId="65" applyFont="1" applyFill="1" applyBorder="1" applyAlignment="1" applyProtection="1">
      <alignment horizontal="center" wrapText="1"/>
      <protection locked="0"/>
    </xf>
    <xf numFmtId="43" fontId="9" fillId="34" borderId="12" xfId="65" applyFont="1" applyFill="1" applyBorder="1" applyAlignment="1" applyProtection="1">
      <alignment horizontal="center" wrapText="1"/>
      <protection locked="0"/>
    </xf>
    <xf numFmtId="43" fontId="17" fillId="33" borderId="23" xfId="65" applyFont="1" applyFill="1" applyBorder="1" applyAlignment="1" applyProtection="1">
      <alignment horizontal="center"/>
      <protection/>
    </xf>
    <xf numFmtId="43" fontId="17" fillId="33" borderId="11" xfId="65" applyFont="1" applyFill="1" applyBorder="1" applyAlignment="1" applyProtection="1">
      <alignment horizontal="center"/>
      <protection/>
    </xf>
    <xf numFmtId="43" fontId="17" fillId="33" borderId="10" xfId="65" applyFont="1" applyFill="1" applyBorder="1" applyAlignment="1" applyProtection="1">
      <alignment horizontal="center"/>
      <protection/>
    </xf>
    <xf numFmtId="43" fontId="9" fillId="33" borderId="23" xfId="65" applyFont="1" applyFill="1" applyBorder="1" applyAlignment="1" applyProtection="1">
      <alignment horizontal="center" wrapText="1"/>
      <protection/>
    </xf>
    <xf numFmtId="43" fontId="9" fillId="33" borderId="10" xfId="65" applyFont="1" applyFill="1" applyBorder="1" applyAlignment="1" applyProtection="1">
      <alignment horizontal="center" wrapText="1"/>
      <protection/>
    </xf>
    <xf numFmtId="43" fontId="9" fillId="10" borderId="13" xfId="65" applyFont="1" applyFill="1" applyBorder="1" applyAlignment="1" applyProtection="1">
      <alignment horizontal="center" vertical="center"/>
      <protection/>
    </xf>
    <xf numFmtId="43" fontId="9" fillId="10" borderId="12" xfId="65" applyFont="1" applyFill="1" applyBorder="1" applyAlignment="1" applyProtection="1">
      <alignment horizontal="center" vertical="center"/>
      <protection/>
    </xf>
    <xf numFmtId="43" fontId="9" fillId="4" borderId="13" xfId="65" applyFont="1" applyFill="1" applyBorder="1" applyAlignment="1" applyProtection="1">
      <alignment horizontal="center" vertical="center"/>
      <protection/>
    </xf>
    <xf numFmtId="43" fontId="9" fillId="4" borderId="12" xfId="65" applyFont="1" applyFill="1" applyBorder="1" applyAlignment="1" applyProtection="1">
      <alignment horizontal="center" vertical="center"/>
      <protection/>
    </xf>
    <xf numFmtId="43" fontId="9" fillId="33" borderId="23" xfId="65" applyFont="1" applyFill="1" applyBorder="1" applyAlignment="1" applyProtection="1">
      <alignment horizontal="center" vertical="center"/>
      <protection/>
    </xf>
    <xf numFmtId="43" fontId="9" fillId="33" borderId="10" xfId="65" applyFont="1" applyFill="1" applyBorder="1" applyAlignment="1" applyProtection="1">
      <alignment horizontal="center" vertical="center"/>
      <protection/>
    </xf>
    <xf numFmtId="43" fontId="9" fillId="33" borderId="23" xfId="65" applyFont="1" applyFill="1" applyBorder="1" applyAlignment="1" applyProtection="1">
      <alignment horizontal="center" vertical="center" wrapText="1"/>
      <protection/>
    </xf>
    <xf numFmtId="43" fontId="9" fillId="33" borderId="10" xfId="65" applyFont="1" applyFill="1" applyBorder="1" applyAlignment="1" applyProtection="1">
      <alignment horizontal="center" vertical="center" wrapText="1"/>
      <protection/>
    </xf>
    <xf numFmtId="43" fontId="9" fillId="33" borderId="22" xfId="65" applyFont="1" applyFill="1" applyBorder="1" applyAlignment="1" applyProtection="1">
      <alignment horizontal="center" vertical="center"/>
      <protection/>
    </xf>
    <xf numFmtId="43" fontId="9" fillId="34" borderId="22" xfId="65" applyFont="1" applyFill="1" applyBorder="1" applyAlignment="1" applyProtection="1">
      <alignment horizontal="center" vertical="center"/>
      <protection locked="0"/>
    </xf>
    <xf numFmtId="43" fontId="9" fillId="34" borderId="23" xfId="65" applyFont="1" applyFill="1" applyBorder="1" applyAlignment="1" applyProtection="1">
      <alignment horizontal="center" vertical="top" wrapText="1"/>
      <protection locked="0"/>
    </xf>
    <xf numFmtId="43" fontId="9" fillId="34" borderId="11" xfId="65" applyFont="1" applyFill="1" applyBorder="1" applyAlignment="1" applyProtection="1">
      <alignment horizontal="center" vertical="top" wrapText="1"/>
      <protection locked="0"/>
    </xf>
    <xf numFmtId="43" fontId="9" fillId="34" borderId="10" xfId="65" applyFont="1" applyFill="1" applyBorder="1" applyAlignment="1" applyProtection="1">
      <alignment horizontal="center" vertical="top" wrapText="1"/>
      <protection locked="0"/>
    </xf>
    <xf numFmtId="43" fontId="9" fillId="34" borderId="21" xfId="65" applyNumberFormat="1" applyFont="1" applyFill="1" applyBorder="1" applyAlignment="1" applyProtection="1">
      <alignment horizontal="center" vertical="top" wrapText="1"/>
      <protection locked="0"/>
    </xf>
    <xf numFmtId="43" fontId="9" fillId="34" borderId="24" xfId="65" applyNumberFormat="1" applyFont="1" applyFill="1" applyBorder="1" applyAlignment="1" applyProtection="1">
      <alignment horizontal="center" vertical="top" wrapText="1"/>
      <protection locked="0"/>
    </xf>
    <xf numFmtId="43" fontId="9" fillId="34" borderId="15" xfId="65" applyNumberFormat="1" applyFont="1" applyFill="1" applyBorder="1" applyAlignment="1" applyProtection="1">
      <alignment horizontal="center" vertical="top" wrapText="1"/>
      <protection locked="0"/>
    </xf>
    <xf numFmtId="43" fontId="9" fillId="34" borderId="13" xfId="65" applyNumberFormat="1" applyFont="1" applyFill="1" applyBorder="1" applyAlignment="1" applyProtection="1">
      <alignment horizontal="center" vertical="top" wrapText="1"/>
      <protection locked="0"/>
    </xf>
    <xf numFmtId="43" fontId="9" fillId="34" borderId="0" xfId="65" applyNumberFormat="1" applyFont="1" applyFill="1" applyBorder="1" applyAlignment="1" applyProtection="1">
      <alignment horizontal="center" vertical="top" wrapText="1"/>
      <protection locked="0"/>
    </xf>
    <xf numFmtId="43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43" fontId="9" fillId="34" borderId="20" xfId="65" applyNumberFormat="1" applyFont="1" applyFill="1" applyBorder="1" applyAlignment="1" applyProtection="1">
      <alignment horizontal="center" vertical="top" wrapText="1"/>
      <protection locked="0"/>
    </xf>
    <xf numFmtId="43" fontId="9" fillId="34" borderId="14" xfId="65" applyNumberFormat="1" applyFont="1" applyFill="1" applyBorder="1" applyAlignment="1" applyProtection="1">
      <alignment horizontal="center" vertical="top" wrapText="1"/>
      <protection locked="0"/>
    </xf>
    <xf numFmtId="43" fontId="9" fillId="34" borderId="16" xfId="65" applyNumberFormat="1" applyFont="1" applyFill="1" applyBorder="1" applyAlignment="1" applyProtection="1">
      <alignment horizontal="center" vertical="top" wrapText="1"/>
      <protection locked="0"/>
    </xf>
    <xf numFmtId="0" fontId="17" fillId="33" borderId="21" xfId="0" applyFont="1" applyFill="1" applyBorder="1" applyAlignment="1" applyProtection="1">
      <alignment horizontal="center" wrapText="1"/>
      <protection/>
    </xf>
    <xf numFmtId="0" fontId="17" fillId="33" borderId="24" xfId="0" applyFont="1" applyFill="1" applyBorder="1" applyAlignment="1" applyProtection="1">
      <alignment horizontal="center" wrapText="1"/>
      <protection/>
    </xf>
    <xf numFmtId="0" fontId="17" fillId="33" borderId="15" xfId="0" applyFont="1" applyFill="1" applyBorder="1" applyAlignment="1" applyProtection="1">
      <alignment horizontal="center" wrapText="1"/>
      <protection/>
    </xf>
    <xf numFmtId="43" fontId="9" fillId="34" borderId="21" xfId="65" applyFont="1" applyFill="1" applyBorder="1" applyAlignment="1" applyProtection="1">
      <alignment horizontal="center" wrapText="1"/>
      <protection locked="0"/>
    </xf>
    <xf numFmtId="43" fontId="9" fillId="34" borderId="24" xfId="65" applyFont="1" applyFill="1" applyBorder="1" applyAlignment="1" applyProtection="1">
      <alignment horizontal="center" wrapText="1"/>
      <protection locked="0"/>
    </xf>
    <xf numFmtId="43" fontId="9" fillId="34" borderId="15" xfId="65" applyFont="1" applyFill="1" applyBorder="1" applyAlignment="1" applyProtection="1">
      <alignment horizontal="center" wrapText="1"/>
      <protection locked="0"/>
    </xf>
    <xf numFmtId="43" fontId="9" fillId="34" borderId="21" xfId="65" applyFont="1" applyFill="1" applyBorder="1" applyAlignment="1" applyProtection="1">
      <alignment horizontal="center" vertical="top" wrapText="1"/>
      <protection locked="0"/>
    </xf>
    <xf numFmtId="43" fontId="9" fillId="34" borderId="24" xfId="65" applyFont="1" applyFill="1" applyBorder="1" applyAlignment="1" applyProtection="1">
      <alignment horizontal="center" vertical="top" wrapText="1"/>
      <protection locked="0"/>
    </xf>
    <xf numFmtId="43" fontId="9" fillId="34" borderId="15" xfId="65" applyFont="1" applyFill="1" applyBorder="1" applyAlignment="1" applyProtection="1">
      <alignment horizontal="center" vertical="top" wrapText="1"/>
      <protection locked="0"/>
    </xf>
    <xf numFmtId="43" fontId="9" fillId="34" borderId="13" xfId="65" applyFont="1" applyFill="1" applyBorder="1" applyAlignment="1" applyProtection="1">
      <alignment horizontal="center" vertical="top" wrapText="1"/>
      <protection locked="0"/>
    </xf>
    <xf numFmtId="43" fontId="9" fillId="34" borderId="0" xfId="65" applyFont="1" applyFill="1" applyBorder="1" applyAlignment="1" applyProtection="1">
      <alignment horizontal="center" vertical="top" wrapText="1"/>
      <protection locked="0"/>
    </xf>
    <xf numFmtId="43" fontId="9" fillId="34" borderId="12" xfId="65" applyFont="1" applyFill="1" applyBorder="1" applyAlignment="1" applyProtection="1">
      <alignment horizontal="center" vertical="top" wrapText="1"/>
      <protection locked="0"/>
    </xf>
    <xf numFmtId="43" fontId="9" fillId="34" borderId="20" xfId="65" applyFont="1" applyFill="1" applyBorder="1" applyAlignment="1" applyProtection="1">
      <alignment horizontal="center" wrapText="1"/>
      <protection locked="0"/>
    </xf>
    <xf numFmtId="43" fontId="9" fillId="34" borderId="14" xfId="65" applyFont="1" applyFill="1" applyBorder="1" applyAlignment="1" applyProtection="1">
      <alignment horizontal="center" wrapText="1"/>
      <protection locked="0"/>
    </xf>
    <xf numFmtId="43" fontId="9" fillId="34" borderId="16" xfId="65" applyFont="1" applyFill="1" applyBorder="1" applyAlignment="1" applyProtection="1">
      <alignment horizontal="center" wrapText="1"/>
      <protection locked="0"/>
    </xf>
    <xf numFmtId="43" fontId="9" fillId="34" borderId="20" xfId="65" applyFont="1" applyFill="1" applyBorder="1" applyAlignment="1" applyProtection="1">
      <alignment horizontal="center" vertical="top" wrapText="1"/>
      <protection locked="0"/>
    </xf>
    <xf numFmtId="43" fontId="9" fillId="34" borderId="14" xfId="65" applyFont="1" applyFill="1" applyBorder="1" applyAlignment="1" applyProtection="1">
      <alignment horizontal="center" vertical="top" wrapText="1"/>
      <protection locked="0"/>
    </xf>
    <xf numFmtId="43" fontId="9" fillId="34" borderId="16" xfId="65" applyFont="1" applyFill="1" applyBorder="1" applyAlignment="1" applyProtection="1">
      <alignment horizontal="center" vertical="top" wrapText="1"/>
      <protection locked="0"/>
    </xf>
    <xf numFmtId="0" fontId="3" fillId="0" borderId="22" xfId="0" applyNumberFormat="1" applyFont="1" applyFill="1" applyBorder="1" applyAlignment="1" applyProtection="1">
      <alignment horizontal="center" vertical="top"/>
      <protection/>
    </xf>
    <xf numFmtId="0" fontId="17" fillId="33" borderId="14" xfId="0" applyFont="1" applyFill="1" applyBorder="1" applyAlignment="1" applyProtection="1">
      <alignment horizontal="center" vertical="center" wrapText="1"/>
      <protection/>
    </xf>
    <xf numFmtId="43" fontId="9" fillId="0" borderId="13" xfId="65" applyFont="1" applyFill="1" applyBorder="1" applyAlignment="1" applyProtection="1">
      <alignment horizontal="center" wrapText="1"/>
      <protection/>
    </xf>
    <xf numFmtId="43" fontId="9" fillId="0" borderId="0" xfId="65" applyFont="1" applyFill="1" applyBorder="1" applyAlignment="1" applyProtection="1">
      <alignment horizontal="center" wrapText="1"/>
      <protection/>
    </xf>
    <xf numFmtId="43" fontId="9" fillId="0" borderId="12" xfId="65" applyFont="1" applyFill="1" applyBorder="1" applyAlignment="1" applyProtection="1">
      <alignment horizontal="center" wrapText="1"/>
      <protection/>
    </xf>
    <xf numFmtId="43" fontId="9" fillId="0" borderId="22" xfId="65" applyFont="1" applyFill="1" applyBorder="1" applyAlignment="1" applyProtection="1">
      <alignment horizontal="center" vertical="center" wrapText="1"/>
      <protection/>
    </xf>
    <xf numFmtId="43" fontId="9" fillId="0" borderId="21" xfId="65" applyFont="1" applyFill="1" applyBorder="1" applyAlignment="1" applyProtection="1">
      <alignment horizontal="center"/>
      <protection/>
    </xf>
    <xf numFmtId="43" fontId="9" fillId="0" borderId="15" xfId="65" applyFont="1" applyFill="1" applyBorder="1" applyAlignment="1" applyProtection="1">
      <alignment horizontal="center"/>
      <protection/>
    </xf>
    <xf numFmtId="43" fontId="9" fillId="0" borderId="13" xfId="65" applyFont="1" applyFill="1" applyBorder="1" applyAlignment="1" applyProtection="1">
      <alignment horizontal="center"/>
      <protection/>
    </xf>
    <xf numFmtId="43" fontId="9" fillId="0" borderId="12" xfId="65" applyFont="1" applyFill="1" applyBorder="1" applyAlignment="1" applyProtection="1">
      <alignment horizontal="center"/>
      <protection/>
    </xf>
    <xf numFmtId="43" fontId="9" fillId="33" borderId="22" xfId="65" applyFont="1" applyFill="1" applyBorder="1" applyAlignment="1" applyProtection="1">
      <alignment horizontal="center"/>
      <protection/>
    </xf>
    <xf numFmtId="43" fontId="9" fillId="34" borderId="21" xfId="65" applyNumberFormat="1" applyFont="1" applyFill="1" applyBorder="1" applyAlignment="1" applyProtection="1">
      <alignment horizontal="center"/>
      <protection locked="0"/>
    </xf>
    <xf numFmtId="43" fontId="9" fillId="34" borderId="24" xfId="65" applyNumberFormat="1" applyFont="1" applyFill="1" applyBorder="1" applyAlignment="1" applyProtection="1">
      <alignment horizontal="center"/>
      <protection locked="0"/>
    </xf>
    <xf numFmtId="43" fontId="9" fillId="34" borderId="15" xfId="65" applyNumberFormat="1" applyFont="1" applyFill="1" applyBorder="1" applyAlignment="1" applyProtection="1">
      <alignment horizontal="center"/>
      <protection locked="0"/>
    </xf>
    <xf numFmtId="43" fontId="9" fillId="34" borderId="20" xfId="65" applyNumberFormat="1" applyFont="1" applyFill="1" applyBorder="1" applyAlignment="1" applyProtection="1">
      <alignment horizontal="center"/>
      <protection locked="0"/>
    </xf>
    <xf numFmtId="43" fontId="9" fillId="34" borderId="14" xfId="65" applyNumberFormat="1" applyFont="1" applyFill="1" applyBorder="1" applyAlignment="1" applyProtection="1">
      <alignment horizontal="center"/>
      <protection locked="0"/>
    </xf>
    <xf numFmtId="43" fontId="9" fillId="34" borderId="16" xfId="65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37" fontId="18" fillId="33" borderId="15" xfId="0" applyNumberFormat="1" applyFont="1" applyFill="1" applyBorder="1" applyAlignment="1" applyProtection="1">
      <alignment horizontal="center" vertical="center"/>
      <protection/>
    </xf>
    <xf numFmtId="37" fontId="18" fillId="33" borderId="12" xfId="0" applyNumberFormat="1" applyFont="1" applyFill="1" applyBorder="1" applyAlignment="1" applyProtection="1">
      <alignment horizontal="center" vertical="center"/>
      <protection/>
    </xf>
    <xf numFmtId="37" fontId="18" fillId="33" borderId="16" xfId="0" applyNumberFormat="1" applyFont="1" applyFill="1" applyBorder="1" applyAlignment="1" applyProtection="1">
      <alignment horizontal="center" vertical="center"/>
      <protection/>
    </xf>
    <xf numFmtId="0" fontId="18" fillId="33" borderId="24" xfId="0" applyFont="1" applyFill="1" applyBorder="1" applyAlignment="1" applyProtection="1">
      <alignment horizontal="center" vertical="center" wrapText="1"/>
      <protection/>
    </xf>
    <xf numFmtId="0" fontId="18" fillId="33" borderId="14" xfId="0" applyFont="1" applyFill="1" applyBorder="1" applyAlignment="1" applyProtection="1">
      <alignment horizontal="center" vertical="center" wrapText="1"/>
      <protection/>
    </xf>
    <xf numFmtId="37" fontId="18" fillId="33" borderId="24" xfId="0" applyNumberFormat="1" applyFont="1" applyFill="1" applyBorder="1" applyAlignment="1" applyProtection="1">
      <alignment horizontal="center" vertical="center"/>
      <protection/>
    </xf>
    <xf numFmtId="37" fontId="18" fillId="33" borderId="0" xfId="0" applyNumberFormat="1" applyFont="1" applyFill="1" applyAlignment="1" applyProtection="1">
      <alignment horizontal="center" vertical="center"/>
      <protection/>
    </xf>
    <xf numFmtId="37" fontId="18" fillId="33" borderId="14" xfId="0" applyNumberFormat="1" applyFont="1" applyFill="1" applyBorder="1" applyAlignment="1" applyProtection="1">
      <alignment horizontal="center" vertical="center"/>
      <protection/>
    </xf>
    <xf numFmtId="0" fontId="17" fillId="33" borderId="13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7" fillId="33" borderId="21" xfId="0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center" vertical="center" wrapText="1"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7" fillId="33" borderId="12" xfId="0" applyFont="1" applyFill="1" applyBorder="1" applyAlignment="1" applyProtection="1">
      <alignment horizontal="center" vertical="center" wrapText="1"/>
      <protection/>
    </xf>
    <xf numFmtId="37" fontId="17" fillId="33" borderId="21" xfId="0" applyNumberFormat="1" applyFont="1" applyFill="1" applyBorder="1" applyAlignment="1" applyProtection="1">
      <alignment horizontal="center" vertical="center" wrapText="1"/>
      <protection/>
    </xf>
    <xf numFmtId="37" fontId="17" fillId="33" borderId="15" xfId="0" applyNumberFormat="1" applyFont="1" applyFill="1" applyBorder="1" applyAlignment="1" applyProtection="1">
      <alignment horizontal="center" vertical="center" wrapText="1"/>
      <protection/>
    </xf>
    <xf numFmtId="37" fontId="17" fillId="33" borderId="13" xfId="0" applyNumberFormat="1" applyFont="1" applyFill="1" applyBorder="1" applyAlignment="1" applyProtection="1">
      <alignment horizontal="center" vertical="center" wrapText="1"/>
      <protection/>
    </xf>
    <xf numFmtId="37" fontId="17" fillId="33" borderId="12" xfId="0" applyNumberFormat="1" applyFont="1" applyFill="1" applyBorder="1" applyAlignment="1" applyProtection="1">
      <alignment horizontal="center" vertical="center" wrapText="1"/>
      <protection/>
    </xf>
    <xf numFmtId="37" fontId="17" fillId="33" borderId="20" xfId="0" applyNumberFormat="1" applyFont="1" applyFill="1" applyBorder="1" applyAlignment="1" applyProtection="1">
      <alignment horizontal="center" vertical="center" wrapText="1"/>
      <protection/>
    </xf>
    <xf numFmtId="37" fontId="17" fillId="33" borderId="16" xfId="0" applyNumberFormat="1" applyFont="1" applyFill="1" applyBorder="1" applyAlignment="1" applyProtection="1">
      <alignment horizontal="center" vertical="center" wrapText="1"/>
      <protection/>
    </xf>
    <xf numFmtId="0" fontId="17" fillId="33" borderId="22" xfId="0" applyFont="1" applyFill="1" applyBorder="1" applyAlignment="1" applyProtection="1">
      <alignment horizontal="center" vertical="center" wrapText="1"/>
      <protection/>
    </xf>
    <xf numFmtId="37" fontId="17" fillId="33" borderId="24" xfId="0" applyNumberFormat="1" applyFont="1" applyFill="1" applyBorder="1" applyAlignment="1" applyProtection="1">
      <alignment horizontal="center" vertical="center" wrapText="1"/>
      <protection/>
    </xf>
    <xf numFmtId="37" fontId="17" fillId="33" borderId="0" xfId="0" applyNumberFormat="1" applyFont="1" applyFill="1" applyAlignment="1" applyProtection="1">
      <alignment horizontal="center" vertical="center" wrapText="1"/>
      <protection/>
    </xf>
    <xf numFmtId="37" fontId="17" fillId="33" borderId="14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25" fillId="34" borderId="21" xfId="0" applyFont="1" applyFill="1" applyBorder="1" applyAlignment="1" applyProtection="1">
      <alignment horizontal="center" wrapText="1"/>
      <protection locked="0"/>
    </xf>
    <xf numFmtId="0" fontId="25" fillId="34" borderId="15" xfId="0" applyFont="1" applyFill="1" applyBorder="1" applyAlignment="1" applyProtection="1">
      <alignment horizontal="center" wrapText="1"/>
      <protection locked="0"/>
    </xf>
    <xf numFmtId="49" fontId="9" fillId="34" borderId="24" xfId="0" applyNumberFormat="1" applyFont="1" applyFill="1" applyBorder="1" applyAlignment="1" applyProtection="1">
      <alignment horizontal="center" wrapText="1"/>
      <protection locked="0"/>
    </xf>
    <xf numFmtId="49" fontId="9" fillId="34" borderId="15" xfId="0" applyNumberFormat="1" applyFont="1" applyFill="1" applyBorder="1" applyAlignment="1" applyProtection="1">
      <alignment horizontal="center" wrapText="1"/>
      <protection locked="0"/>
    </xf>
    <xf numFmtId="49" fontId="9" fillId="34" borderId="21" xfId="0" applyNumberFormat="1" applyFont="1" applyFill="1" applyBorder="1" applyAlignment="1" applyProtection="1">
      <alignment horizontal="center" wrapText="1"/>
      <protection locked="0"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49" fontId="9" fillId="33" borderId="14" xfId="0" applyNumberFormat="1" applyFont="1" applyFill="1" applyBorder="1" applyAlignment="1" applyProtection="1">
      <alignment horizontal="center" vertical="center" wrapText="1"/>
      <protection/>
    </xf>
    <xf numFmtId="49" fontId="9" fillId="33" borderId="16" xfId="0" applyNumberFormat="1" applyFont="1" applyFill="1" applyBorder="1" applyAlignment="1" applyProtection="1">
      <alignment horizontal="center" vertical="center" wrapText="1"/>
      <protection/>
    </xf>
    <xf numFmtId="49" fontId="9" fillId="33" borderId="20" xfId="0" applyNumberFormat="1" applyFont="1" applyFill="1" applyBorder="1" applyAlignment="1" applyProtection="1">
      <alignment horizontal="center" vertical="center" wrapText="1"/>
      <protection/>
    </xf>
    <xf numFmtId="43" fontId="9" fillId="0" borderId="23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34" borderId="23" xfId="0" applyNumberFormat="1" applyFont="1" applyFill="1" applyBorder="1" applyAlignment="1" applyProtection="1">
      <alignment horizontal="center"/>
      <protection locked="0"/>
    </xf>
    <xf numFmtId="0" fontId="9" fillId="34" borderId="11" xfId="0" applyNumberFormat="1" applyFont="1" applyFill="1" applyBorder="1" applyAlignment="1" applyProtection="1">
      <alignment horizontal="center"/>
      <protection locked="0"/>
    </xf>
    <xf numFmtId="0" fontId="9" fillId="34" borderId="10" xfId="0" applyNumberFormat="1" applyFont="1" applyFill="1" applyBorder="1" applyAlignment="1" applyProtection="1">
      <alignment horizontal="center"/>
      <protection locked="0"/>
    </xf>
    <xf numFmtId="0" fontId="2" fillId="34" borderId="24" xfId="0" applyFont="1" applyFill="1" applyBorder="1" applyAlignment="1" applyProtection="1">
      <alignment horizontal="left" vertical="center" wrapText="1"/>
      <protection locked="0"/>
    </xf>
    <xf numFmtId="0" fontId="18" fillId="33" borderId="24" xfId="0" applyFont="1" applyFill="1" applyBorder="1" applyAlignment="1" applyProtection="1">
      <alignment horizontal="center" vertical="center"/>
      <protection/>
    </xf>
    <xf numFmtId="0" fontId="18" fillId="33" borderId="14" xfId="0" applyFont="1" applyFill="1" applyBorder="1" applyAlignment="1" applyProtection="1">
      <alignment horizontal="center" vertical="center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109" fillId="0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horizontal="center"/>
      <protection/>
    </xf>
    <xf numFmtId="0" fontId="17" fillId="33" borderId="16" xfId="0" applyFont="1" applyFill="1" applyBorder="1" applyAlignment="1" applyProtection="1">
      <alignment horizontal="center"/>
      <protection/>
    </xf>
    <xf numFmtId="43" fontId="9" fillId="0" borderId="24" xfId="65" applyFont="1" applyFill="1" applyBorder="1" applyAlignment="1" applyProtection="1">
      <alignment horizontal="center"/>
      <protection/>
    </xf>
    <xf numFmtId="43" fontId="9" fillId="34" borderId="13" xfId="65" applyNumberFormat="1" applyFont="1" applyFill="1" applyBorder="1" applyAlignment="1" applyProtection="1">
      <alignment horizontal="center"/>
      <protection locked="0"/>
    </xf>
    <xf numFmtId="43" fontId="9" fillId="34" borderId="12" xfId="65" applyNumberFormat="1" applyFont="1" applyFill="1" applyBorder="1" applyAlignment="1" applyProtection="1">
      <alignment horizontal="center"/>
      <protection locked="0"/>
    </xf>
    <xf numFmtId="43" fontId="9" fillId="34" borderId="0" xfId="65" applyNumberFormat="1" applyFont="1" applyFill="1" applyBorder="1" applyAlignment="1" applyProtection="1">
      <alignment horizontal="center"/>
      <protection locked="0"/>
    </xf>
    <xf numFmtId="43" fontId="9" fillId="0" borderId="0" xfId="65" applyFont="1" applyFill="1" applyBorder="1" applyAlignment="1" applyProtection="1">
      <alignment horizontal="center"/>
      <protection/>
    </xf>
    <xf numFmtId="43" fontId="9" fillId="0" borderId="20" xfId="65" applyFont="1" applyFill="1" applyBorder="1" applyAlignment="1" applyProtection="1">
      <alignment horizontal="center"/>
      <protection/>
    </xf>
    <xf numFmtId="43" fontId="9" fillId="0" borderId="14" xfId="65" applyFont="1" applyFill="1" applyBorder="1" applyAlignment="1" applyProtection="1">
      <alignment horizontal="center"/>
      <protection/>
    </xf>
    <xf numFmtId="43" fontId="9" fillId="0" borderId="16" xfId="65" applyFont="1" applyFill="1" applyBorder="1" applyAlignment="1" applyProtection="1">
      <alignment horizontal="center"/>
      <protection/>
    </xf>
    <xf numFmtId="0" fontId="24" fillId="0" borderId="11" xfId="0" applyNumberFormat="1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left" vertical="center"/>
      <protection/>
    </xf>
    <xf numFmtId="43" fontId="9" fillId="34" borderId="23" xfId="65" applyNumberFormat="1" applyFont="1" applyFill="1" applyBorder="1" applyAlignment="1" applyProtection="1">
      <alignment horizontal="center" vertical="center"/>
      <protection locked="0"/>
    </xf>
    <xf numFmtId="43" fontId="9" fillId="34" borderId="11" xfId="65" applyNumberFormat="1" applyFont="1" applyFill="1" applyBorder="1" applyAlignment="1" applyProtection="1">
      <alignment horizontal="center" vertical="center"/>
      <protection locked="0"/>
    </xf>
    <xf numFmtId="43" fontId="9" fillId="34" borderId="10" xfId="65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8" fillId="33" borderId="15" xfId="0" applyNumberFormat="1" applyFont="1" applyFill="1" applyBorder="1" applyAlignment="1" applyProtection="1">
      <alignment horizontal="center" vertical="center"/>
      <protection/>
    </xf>
    <xf numFmtId="0" fontId="18" fillId="33" borderId="12" xfId="0" applyNumberFormat="1" applyFont="1" applyFill="1" applyBorder="1" applyAlignment="1" applyProtection="1">
      <alignment horizontal="center" vertical="center"/>
      <protection/>
    </xf>
    <xf numFmtId="0" fontId="18" fillId="33" borderId="16" xfId="0" applyNumberFormat="1" applyFont="1" applyFill="1" applyBorder="1" applyAlignment="1" applyProtection="1">
      <alignment horizontal="center" vertical="center"/>
      <protection/>
    </xf>
    <xf numFmtId="3" fontId="18" fillId="33" borderId="21" xfId="0" applyNumberFormat="1" applyFont="1" applyFill="1" applyBorder="1" applyAlignment="1" applyProtection="1">
      <alignment horizontal="center" vertical="center"/>
      <protection/>
    </xf>
    <xf numFmtId="3" fontId="18" fillId="33" borderId="24" xfId="0" applyNumberFormat="1" applyFont="1" applyFill="1" applyBorder="1" applyAlignment="1" applyProtection="1">
      <alignment horizontal="center" vertical="center"/>
      <protection/>
    </xf>
    <xf numFmtId="3" fontId="18" fillId="33" borderId="15" xfId="0" applyNumberFormat="1" applyFont="1" applyFill="1" applyBorder="1" applyAlignment="1" applyProtection="1">
      <alignment horizontal="center" vertical="center"/>
      <protection/>
    </xf>
    <xf numFmtId="3" fontId="18" fillId="33" borderId="20" xfId="0" applyNumberFormat="1" applyFont="1" applyFill="1" applyBorder="1" applyAlignment="1" applyProtection="1">
      <alignment horizontal="center" vertical="center"/>
      <protection/>
    </xf>
    <xf numFmtId="3" fontId="18" fillId="33" borderId="14" xfId="0" applyNumberFormat="1" applyFont="1" applyFill="1" applyBorder="1" applyAlignment="1" applyProtection="1">
      <alignment horizontal="center" vertical="center"/>
      <protection/>
    </xf>
    <xf numFmtId="3" fontId="18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17" fillId="33" borderId="22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/>
      <protection/>
    </xf>
    <xf numFmtId="0" fontId="9" fillId="0" borderId="24" xfId="0" applyNumberFormat="1" applyFont="1" applyFill="1" applyBorder="1" applyAlignment="1" applyProtection="1">
      <alignment horizontal="left" vertical="center"/>
      <protection locked="0"/>
    </xf>
    <xf numFmtId="0" fontId="17" fillId="33" borderId="17" xfId="0" applyFont="1" applyFill="1" applyBorder="1" applyAlignment="1" applyProtection="1">
      <alignment horizontal="center" vertical="center" wrapText="1"/>
      <protection/>
    </xf>
    <xf numFmtId="0" fontId="17" fillId="33" borderId="18" xfId="0" applyFont="1" applyFill="1" applyBorder="1" applyAlignment="1" applyProtection="1">
      <alignment horizontal="center" vertical="center" wrapText="1"/>
      <protection/>
    </xf>
    <xf numFmtId="0" fontId="17" fillId="33" borderId="19" xfId="0" applyFont="1" applyFill="1" applyBorder="1" applyAlignment="1" applyProtection="1">
      <alignment horizontal="center" vertical="center" wrapText="1"/>
      <protection/>
    </xf>
    <xf numFmtId="0" fontId="17" fillId="33" borderId="18" xfId="0" applyFont="1" applyFill="1" applyBorder="1" applyAlignment="1" applyProtection="1">
      <alignment horizontal="center" vertical="center"/>
      <protection/>
    </xf>
    <xf numFmtId="0" fontId="17" fillId="33" borderId="17" xfId="50" applyFont="1" applyFill="1" applyBorder="1" applyAlignment="1" applyProtection="1">
      <alignment horizontal="center" vertical="center"/>
      <protection/>
    </xf>
    <xf numFmtId="0" fontId="17" fillId="33" borderId="18" xfId="50" applyFont="1" applyFill="1" applyBorder="1" applyAlignment="1" applyProtection="1">
      <alignment horizontal="center" vertical="center"/>
      <protection/>
    </xf>
    <xf numFmtId="0" fontId="3" fillId="0" borderId="0" xfId="50" applyFont="1" applyFill="1" applyAlignment="1" applyProtection="1">
      <alignment horizontal="left"/>
      <protection/>
    </xf>
    <xf numFmtId="0" fontId="9" fillId="0" borderId="0" xfId="50" applyFont="1" applyFill="1" applyAlignment="1" applyProtection="1">
      <alignment horizontal="left" vertical="top" wrapText="1"/>
      <protection/>
    </xf>
    <xf numFmtId="0" fontId="9" fillId="0" borderId="0" xfId="50" applyFont="1" applyFill="1" applyAlignment="1" applyProtection="1">
      <alignment horizontal="left"/>
      <protection/>
    </xf>
    <xf numFmtId="0" fontId="17" fillId="0" borderId="0" xfId="50" applyFont="1" applyFill="1" applyAlignment="1" applyProtection="1">
      <alignment horizontal="left"/>
      <protection/>
    </xf>
    <xf numFmtId="0" fontId="116" fillId="0" borderId="0" xfId="0" applyFont="1" applyFill="1" applyAlignment="1" applyProtection="1">
      <alignment horizontal="left"/>
      <protection/>
    </xf>
    <xf numFmtId="0" fontId="105" fillId="0" borderId="0" xfId="0" applyFont="1" applyFill="1" applyAlignment="1" applyProtection="1">
      <alignment horizontal="center" vertical="center" wrapText="1"/>
      <protection/>
    </xf>
    <xf numFmtId="10" fontId="22" fillId="0" borderId="0" xfId="53" applyNumberFormat="1" applyFont="1" applyFill="1" applyBorder="1" applyAlignment="1" applyProtection="1">
      <alignment horizontal="center" vertical="center" wrapText="1"/>
      <protection/>
    </xf>
    <xf numFmtId="0" fontId="18" fillId="33" borderId="11" xfId="50" applyFont="1" applyFill="1" applyBorder="1" applyAlignment="1" applyProtection="1">
      <alignment horizontal="center" vertical="center"/>
      <protection/>
    </xf>
    <xf numFmtId="0" fontId="9" fillId="33" borderId="23" xfId="50" applyFont="1" applyFill="1" applyBorder="1" applyAlignment="1" applyProtection="1">
      <alignment horizontal="center"/>
      <protection/>
    </xf>
    <xf numFmtId="0" fontId="9" fillId="33" borderId="11" xfId="50" applyFont="1" applyFill="1" applyBorder="1" applyAlignment="1" applyProtection="1">
      <alignment horizontal="center"/>
      <protection/>
    </xf>
    <xf numFmtId="0" fontId="9" fillId="33" borderId="21" xfId="50" applyFont="1" applyFill="1" applyBorder="1" applyAlignment="1" applyProtection="1">
      <alignment horizontal="center"/>
      <protection/>
    </xf>
    <xf numFmtId="0" fontId="9" fillId="33" borderId="15" xfId="50" applyFont="1" applyFill="1" applyBorder="1" applyAlignment="1" applyProtection="1">
      <alignment horizontal="center"/>
      <protection/>
    </xf>
    <xf numFmtId="0" fontId="9" fillId="33" borderId="20" xfId="50" applyFont="1" applyFill="1" applyBorder="1" applyAlignment="1" applyProtection="1">
      <alignment horizontal="center"/>
      <protection/>
    </xf>
    <xf numFmtId="0" fontId="9" fillId="33" borderId="16" xfId="50" applyFont="1" applyFill="1" applyBorder="1" applyAlignment="1" applyProtection="1">
      <alignment horizontal="center"/>
      <protection/>
    </xf>
    <xf numFmtId="43" fontId="9" fillId="0" borderId="13" xfId="50" applyNumberFormat="1" applyFont="1" applyFill="1" applyBorder="1" applyAlignment="1" applyProtection="1">
      <alignment horizontal="center"/>
      <protection/>
    </xf>
    <xf numFmtId="0" fontId="9" fillId="0" borderId="12" xfId="50" applyFont="1" applyFill="1" applyBorder="1" applyAlignment="1" applyProtection="1">
      <alignment horizontal="center"/>
      <protection/>
    </xf>
    <xf numFmtId="43" fontId="9" fillId="0" borderId="22" xfId="50" applyNumberFormat="1" applyFont="1" applyFill="1" applyBorder="1" applyAlignment="1" applyProtection="1">
      <alignment horizontal="center"/>
      <protection/>
    </xf>
    <xf numFmtId="0" fontId="9" fillId="0" borderId="22" xfId="50" applyFont="1" applyFill="1" applyBorder="1" applyAlignment="1" applyProtection="1">
      <alignment horizontal="center"/>
      <protection/>
    </xf>
    <xf numFmtId="0" fontId="9" fillId="33" borderId="13" xfId="50" applyFont="1" applyFill="1" applyBorder="1" applyAlignment="1" applyProtection="1">
      <alignment horizontal="center"/>
      <protection/>
    </xf>
    <xf numFmtId="0" fontId="9" fillId="33" borderId="12" xfId="50" applyFont="1" applyFill="1" applyBorder="1" applyAlignment="1" applyProtection="1">
      <alignment horizontal="center"/>
      <protection/>
    </xf>
    <xf numFmtId="0" fontId="9" fillId="0" borderId="11" xfId="50" applyFont="1" applyFill="1" applyBorder="1" applyAlignment="1" applyProtection="1">
      <alignment horizontal="left" vertical="top" wrapText="1"/>
      <protection/>
    </xf>
    <xf numFmtId="0" fontId="9" fillId="0" borderId="10" xfId="50" applyFont="1" applyFill="1" applyBorder="1" applyAlignment="1" applyProtection="1">
      <alignment horizontal="left" vertical="top" wrapText="1"/>
      <protection/>
    </xf>
    <xf numFmtId="43" fontId="9" fillId="0" borderId="22" xfId="65" applyFont="1" applyFill="1" applyBorder="1" applyAlignment="1" applyProtection="1">
      <alignment horizontal="center" vertical="top" wrapText="1"/>
      <protection/>
    </xf>
    <xf numFmtId="0" fontId="9" fillId="0" borderId="14" xfId="50" applyFont="1" applyFill="1" applyBorder="1" applyAlignment="1" applyProtection="1">
      <alignment horizontal="left" vertical="top" wrapText="1"/>
      <protection/>
    </xf>
    <xf numFmtId="0" fontId="9" fillId="33" borderId="23" xfId="50" applyFont="1" applyFill="1" applyBorder="1" applyAlignment="1" applyProtection="1">
      <alignment horizontal="center" vertical="center"/>
      <protection/>
    </xf>
    <xf numFmtId="0" fontId="9" fillId="33" borderId="11" xfId="50" applyFont="1" applyFill="1" applyBorder="1" applyAlignment="1" applyProtection="1">
      <alignment horizontal="center" vertical="center"/>
      <protection/>
    </xf>
    <xf numFmtId="0" fontId="9" fillId="33" borderId="10" xfId="50" applyFont="1" applyFill="1" applyBorder="1" applyAlignment="1" applyProtection="1">
      <alignment horizontal="center" vertical="center"/>
      <protection/>
    </xf>
    <xf numFmtId="0" fontId="9" fillId="33" borderId="11" xfId="50" applyFont="1" applyFill="1" applyBorder="1" applyAlignment="1" applyProtection="1">
      <alignment horizontal="center" vertical="center" wrapText="1"/>
      <protection/>
    </xf>
    <xf numFmtId="0" fontId="9" fillId="33" borderId="23" xfId="50" applyFont="1" applyFill="1" applyBorder="1" applyAlignment="1" applyProtection="1">
      <alignment horizontal="center" vertical="center" wrapText="1"/>
      <protection/>
    </xf>
    <xf numFmtId="0" fontId="9" fillId="0" borderId="24" xfId="50" applyFont="1" applyBorder="1" applyAlignment="1" applyProtection="1">
      <alignment horizontal="left" vertical="top" wrapText="1"/>
      <protection/>
    </xf>
    <xf numFmtId="43" fontId="9" fillId="0" borderId="21" xfId="65" applyFont="1" applyBorder="1" applyAlignment="1" applyProtection="1">
      <alignment horizontal="center" vertical="top" wrapText="1"/>
      <protection/>
    </xf>
    <xf numFmtId="43" fontId="9" fillId="0" borderId="24" xfId="65" applyFont="1" applyBorder="1" applyAlignment="1" applyProtection="1">
      <alignment horizontal="center" vertical="top" wrapText="1"/>
      <protection/>
    </xf>
    <xf numFmtId="0" fontId="9" fillId="0" borderId="0" xfId="50" applyFont="1" applyBorder="1" applyAlignment="1" applyProtection="1">
      <alignment horizontal="left" vertical="top" wrapText="1"/>
      <protection/>
    </xf>
    <xf numFmtId="43" fontId="9" fillId="0" borderId="13" xfId="65" applyFont="1" applyBorder="1" applyAlignment="1" applyProtection="1">
      <alignment horizontal="center" vertical="top" wrapText="1"/>
      <protection/>
    </xf>
    <xf numFmtId="43" fontId="9" fillId="0" borderId="0" xfId="65" applyFont="1" applyBorder="1" applyAlignment="1" applyProtection="1">
      <alignment horizontal="center" vertical="top" wrapText="1"/>
      <protection/>
    </xf>
    <xf numFmtId="43" fontId="9" fillId="0" borderId="23" xfId="50" applyNumberFormat="1" applyFont="1" applyBorder="1" applyAlignment="1" applyProtection="1">
      <alignment horizontal="center" vertical="top" wrapText="1"/>
      <protection/>
    </xf>
    <xf numFmtId="43" fontId="9" fillId="0" borderId="11" xfId="50" applyNumberFormat="1" applyFont="1" applyBorder="1" applyAlignment="1" applyProtection="1">
      <alignment horizontal="center" vertical="top" wrapText="1"/>
      <protection/>
    </xf>
    <xf numFmtId="0" fontId="9" fillId="33" borderId="10" xfId="50" applyFont="1" applyFill="1" applyBorder="1" applyAlignment="1" applyProtection="1">
      <alignment horizontal="center" vertical="center" wrapText="1"/>
      <protection/>
    </xf>
    <xf numFmtId="10" fontId="9" fillId="0" borderId="13" xfId="53" applyNumberFormat="1" applyFont="1" applyFill="1" applyBorder="1" applyAlignment="1" applyProtection="1">
      <alignment horizontal="center"/>
      <protection/>
    </xf>
    <xf numFmtId="10" fontId="9" fillId="0" borderId="0" xfId="53" applyNumberFormat="1" applyFont="1" applyFill="1" applyBorder="1" applyAlignment="1" applyProtection="1">
      <alignment horizontal="center"/>
      <protection/>
    </xf>
    <xf numFmtId="0" fontId="9" fillId="0" borderId="16" xfId="50" applyFont="1" applyFill="1" applyBorder="1" applyAlignment="1" applyProtection="1">
      <alignment horizontal="left" vertical="top" wrapText="1"/>
      <protection/>
    </xf>
    <xf numFmtId="10" fontId="9" fillId="0" borderId="20" xfId="50" applyNumberFormat="1" applyFont="1" applyFill="1" applyBorder="1" applyAlignment="1" applyProtection="1">
      <alignment horizontal="center"/>
      <protection/>
    </xf>
    <xf numFmtId="0" fontId="9" fillId="0" borderId="14" xfId="50" applyFont="1" applyFill="1" applyBorder="1" applyAlignment="1" applyProtection="1">
      <alignment horizontal="center"/>
      <protection/>
    </xf>
    <xf numFmtId="0" fontId="9" fillId="0" borderId="0" xfId="50" applyFont="1" applyBorder="1" applyAlignment="1" applyProtection="1">
      <alignment horizontal="left" vertical="center" wrapText="1"/>
      <protection locked="0"/>
    </xf>
    <xf numFmtId="0" fontId="9" fillId="0" borderId="12" xfId="50" applyFont="1" applyBorder="1" applyAlignment="1" applyProtection="1">
      <alignment horizontal="left" vertical="center" wrapText="1"/>
      <protection locked="0"/>
    </xf>
    <xf numFmtId="43" fontId="9" fillId="34" borderId="21" xfId="65" applyFont="1" applyFill="1" applyBorder="1" applyAlignment="1" applyProtection="1">
      <alignment horizontal="center"/>
      <protection locked="0"/>
    </xf>
    <xf numFmtId="43" fontId="9" fillId="34" borderId="24" xfId="65" applyFont="1" applyFill="1" applyBorder="1" applyAlignment="1" applyProtection="1">
      <alignment horizontal="center"/>
      <protection locked="0"/>
    </xf>
    <xf numFmtId="0" fontId="9" fillId="0" borderId="14" xfId="50" applyFont="1" applyBorder="1" applyAlignment="1" applyProtection="1">
      <alignment horizontal="left" vertical="center" wrapText="1"/>
      <protection locked="0"/>
    </xf>
    <xf numFmtId="0" fontId="9" fillId="0" borderId="16" xfId="50" applyFont="1" applyBorder="1" applyAlignment="1" applyProtection="1">
      <alignment horizontal="left" vertical="center" wrapText="1"/>
      <protection locked="0"/>
    </xf>
    <xf numFmtId="43" fontId="9" fillId="34" borderId="14" xfId="65" applyFont="1" applyFill="1" applyBorder="1" applyAlignment="1" applyProtection="1">
      <alignment horizontal="center"/>
      <protection locked="0"/>
    </xf>
    <xf numFmtId="0" fontId="18" fillId="33" borderId="14" xfId="50" applyFont="1" applyFill="1" applyBorder="1" applyAlignment="1" applyProtection="1">
      <alignment horizontal="center" vertical="center"/>
      <protection/>
    </xf>
    <xf numFmtId="43" fontId="9" fillId="0" borderId="21" xfId="50" applyNumberFormat="1" applyFont="1" applyFill="1" applyBorder="1" applyAlignment="1" applyProtection="1">
      <alignment horizontal="center" vertical="center"/>
      <protection/>
    </xf>
    <xf numFmtId="0" fontId="9" fillId="0" borderId="24" xfId="50" applyFont="1" applyFill="1" applyBorder="1" applyAlignment="1" applyProtection="1">
      <alignment horizontal="center" vertical="center"/>
      <protection/>
    </xf>
    <xf numFmtId="43" fontId="9" fillId="34" borderId="0" xfId="65" applyFont="1" applyFill="1" applyBorder="1" applyAlignment="1" applyProtection="1">
      <alignment horizontal="center" vertical="center"/>
      <protection locked="0"/>
    </xf>
    <xf numFmtId="0" fontId="9" fillId="0" borderId="0" xfId="50" applyFont="1" applyBorder="1" applyAlignment="1" applyProtection="1">
      <alignment horizontal="left" vertical="center" wrapText="1"/>
      <protection/>
    </xf>
    <xf numFmtId="43" fontId="9" fillId="0" borderId="13" xfId="65" applyFont="1" applyFill="1" applyBorder="1" applyAlignment="1" applyProtection="1">
      <alignment horizontal="center" vertical="center"/>
      <protection/>
    </xf>
    <xf numFmtId="43" fontId="9" fillId="0" borderId="0" xfId="65" applyFont="1" applyFill="1" applyBorder="1" applyAlignment="1" applyProtection="1">
      <alignment horizontal="center" vertical="center"/>
      <protection/>
    </xf>
    <xf numFmtId="0" fontId="9" fillId="0" borderId="14" xfId="50" applyFont="1" applyBorder="1" applyAlignment="1" applyProtection="1">
      <alignment horizontal="left" vertical="center" wrapText="1"/>
      <protection/>
    </xf>
    <xf numFmtId="0" fontId="9" fillId="33" borderId="17" xfId="50" applyFont="1" applyFill="1" applyBorder="1" applyAlignment="1" applyProtection="1">
      <alignment horizontal="center" vertical="center" wrapText="1"/>
      <protection/>
    </xf>
    <xf numFmtId="0" fontId="9" fillId="33" borderId="18" xfId="50" applyFont="1" applyFill="1" applyBorder="1" applyAlignment="1" applyProtection="1">
      <alignment horizontal="center" vertical="center" wrapText="1"/>
      <protection/>
    </xf>
    <xf numFmtId="0" fontId="9" fillId="33" borderId="21" xfId="50" applyFont="1" applyFill="1" applyBorder="1" applyAlignment="1" applyProtection="1">
      <alignment horizontal="center" vertical="center"/>
      <protection/>
    </xf>
    <xf numFmtId="0" fontId="9" fillId="33" borderId="24" xfId="50" applyFont="1" applyFill="1" applyBorder="1" applyAlignment="1" applyProtection="1">
      <alignment horizontal="center" vertical="center"/>
      <protection/>
    </xf>
    <xf numFmtId="0" fontId="9" fillId="33" borderId="15" xfId="50" applyFont="1" applyFill="1" applyBorder="1" applyAlignment="1" applyProtection="1">
      <alignment horizontal="center" vertical="center"/>
      <protection/>
    </xf>
    <xf numFmtId="0" fontId="9" fillId="33" borderId="13" xfId="50" applyFont="1" applyFill="1" applyBorder="1" applyAlignment="1" applyProtection="1">
      <alignment horizontal="center" vertical="center"/>
      <protection/>
    </xf>
    <xf numFmtId="0" fontId="9" fillId="33" borderId="0" xfId="50" applyFont="1" applyFill="1" applyBorder="1" applyAlignment="1" applyProtection="1">
      <alignment horizontal="center" vertical="center"/>
      <protection/>
    </xf>
    <xf numFmtId="0" fontId="9" fillId="33" borderId="12" xfId="50" applyFont="1" applyFill="1" applyBorder="1" applyAlignment="1" applyProtection="1">
      <alignment horizontal="center" vertical="center"/>
      <protection/>
    </xf>
    <xf numFmtId="0" fontId="9" fillId="33" borderId="20" xfId="50" applyFont="1" applyFill="1" applyBorder="1" applyAlignment="1" applyProtection="1">
      <alignment horizontal="center" vertical="center"/>
      <protection/>
    </xf>
    <xf numFmtId="0" fontId="9" fillId="33" borderId="14" xfId="50" applyFont="1" applyFill="1" applyBorder="1" applyAlignment="1" applyProtection="1">
      <alignment horizontal="center" vertical="center"/>
      <protection/>
    </xf>
    <xf numFmtId="0" fontId="9" fillId="33" borderId="16" xfId="50" applyFont="1" applyFill="1" applyBorder="1" applyAlignment="1" applyProtection="1">
      <alignment horizontal="center" vertical="center"/>
      <protection/>
    </xf>
    <xf numFmtId="0" fontId="9" fillId="0" borderId="11" xfId="50" applyFont="1" applyBorder="1" applyAlignment="1" applyProtection="1">
      <alignment horizontal="left" vertical="top" wrapText="1"/>
      <protection/>
    </xf>
    <xf numFmtId="0" fontId="9" fillId="0" borderId="10" xfId="50" applyFont="1" applyBorder="1" applyAlignment="1" applyProtection="1">
      <alignment horizontal="left" vertical="top" wrapText="1"/>
      <protection/>
    </xf>
    <xf numFmtId="43" fontId="9" fillId="0" borderId="23" xfId="50" applyNumberFormat="1" applyFont="1" applyFill="1" applyBorder="1" applyAlignment="1" applyProtection="1">
      <alignment horizontal="center"/>
      <protection/>
    </xf>
    <xf numFmtId="0" fontId="9" fillId="0" borderId="11" xfId="50" applyFont="1" applyFill="1" applyBorder="1" applyAlignment="1" applyProtection="1">
      <alignment horizontal="center"/>
      <protection/>
    </xf>
    <xf numFmtId="0" fontId="9" fillId="0" borderId="11" xfId="50" applyFont="1" applyBorder="1" applyAlignment="1" applyProtection="1">
      <alignment horizontal="left" vertical="center" wrapText="1"/>
      <protection/>
    </xf>
    <xf numFmtId="0" fontId="9" fillId="0" borderId="10" xfId="50" applyFont="1" applyBorder="1" applyAlignment="1" applyProtection="1">
      <alignment horizontal="left" vertical="center" wrapText="1"/>
      <protection/>
    </xf>
    <xf numFmtId="10" fontId="9" fillId="0" borderId="23" xfId="53" applyNumberFormat="1" applyFont="1" applyFill="1" applyBorder="1" applyAlignment="1" applyProtection="1">
      <alignment horizontal="center" vertical="center" wrapText="1"/>
      <protection/>
    </xf>
    <xf numFmtId="10" fontId="9" fillId="0" borderId="11" xfId="53" applyNumberFormat="1" applyFont="1" applyFill="1" applyBorder="1" applyAlignment="1" applyProtection="1">
      <alignment horizontal="center" vertical="center" wrapText="1"/>
      <protection/>
    </xf>
    <xf numFmtId="0" fontId="18" fillId="33" borderId="24" xfId="50" applyFont="1" applyFill="1" applyBorder="1" applyAlignment="1" applyProtection="1">
      <alignment horizontal="center" vertical="center"/>
      <protection/>
    </xf>
    <xf numFmtId="0" fontId="9" fillId="0" borderId="17" xfId="50" applyFont="1" applyBorder="1" applyAlignment="1" applyProtection="1">
      <alignment horizontal="left" vertical="top" wrapText="1"/>
      <protection locked="0"/>
    </xf>
    <xf numFmtId="0" fontId="9" fillId="34" borderId="17" xfId="50" applyFont="1" applyFill="1" applyBorder="1" applyAlignment="1" applyProtection="1">
      <alignment horizontal="center" vertical="top" wrapText="1"/>
      <protection locked="0"/>
    </xf>
    <xf numFmtId="0" fontId="9" fillId="34" borderId="21" xfId="50" applyFont="1" applyFill="1" applyBorder="1" applyAlignment="1" applyProtection="1">
      <alignment horizontal="center" vertical="top" wrapText="1"/>
      <protection locked="0"/>
    </xf>
    <xf numFmtId="0" fontId="9" fillId="0" borderId="24" xfId="50" applyFont="1" applyFill="1" applyBorder="1" applyAlignment="1" applyProtection="1">
      <alignment horizontal="left" vertical="center"/>
      <protection/>
    </xf>
    <xf numFmtId="0" fontId="9" fillId="0" borderId="15" xfId="50" applyFont="1" applyFill="1" applyBorder="1" applyAlignment="1" applyProtection="1">
      <alignment horizontal="left" vertical="center"/>
      <protection/>
    </xf>
    <xf numFmtId="0" fontId="9" fillId="0" borderId="0" xfId="50" applyFont="1" applyFill="1" applyBorder="1" applyAlignment="1" applyProtection="1">
      <alignment horizontal="left" vertical="center"/>
      <protection/>
    </xf>
    <xf numFmtId="0" fontId="9" fillId="0" borderId="12" xfId="50" applyFont="1" applyFill="1" applyBorder="1" applyAlignment="1" applyProtection="1">
      <alignment horizontal="left" vertical="center"/>
      <protection/>
    </xf>
    <xf numFmtId="43" fontId="9" fillId="34" borderId="0" xfId="65" applyFont="1" applyFill="1" applyBorder="1" applyAlignment="1" applyProtection="1">
      <alignment horizontal="center"/>
      <protection locked="0"/>
    </xf>
    <xf numFmtId="0" fontId="9" fillId="0" borderId="18" xfId="50" applyFont="1" applyBorder="1" applyAlignment="1" applyProtection="1">
      <alignment horizontal="left" vertical="top" wrapText="1"/>
      <protection/>
    </xf>
    <xf numFmtId="0" fontId="9" fillId="34" borderId="18" xfId="50" applyFont="1" applyFill="1" applyBorder="1" applyAlignment="1" applyProtection="1">
      <alignment horizontal="center" vertical="top" wrapText="1"/>
      <protection locked="0"/>
    </xf>
    <xf numFmtId="0" fontId="9" fillId="34" borderId="13" xfId="50" applyFont="1" applyFill="1" applyBorder="1" applyAlignment="1" applyProtection="1">
      <alignment horizontal="center" vertical="top" wrapText="1"/>
      <protection locked="0"/>
    </xf>
    <xf numFmtId="43" fontId="9" fillId="0" borderId="12" xfId="65" applyFont="1" applyFill="1" applyBorder="1" applyAlignment="1" applyProtection="1">
      <alignment horizontal="center" vertical="top" wrapText="1"/>
      <protection/>
    </xf>
    <xf numFmtId="43" fontId="9" fillId="0" borderId="18" xfId="65" applyFont="1" applyFill="1" applyBorder="1" applyAlignment="1" applyProtection="1">
      <alignment horizontal="center" vertical="top" wrapText="1"/>
      <protection/>
    </xf>
    <xf numFmtId="43" fontId="9" fillId="0" borderId="13" xfId="65" applyFont="1" applyFill="1" applyBorder="1" applyAlignment="1" applyProtection="1">
      <alignment horizontal="center" vertical="top" wrapText="1"/>
      <protection/>
    </xf>
    <xf numFmtId="0" fontId="9" fillId="34" borderId="18" xfId="50" applyFont="1" applyFill="1" applyBorder="1" applyAlignment="1" applyProtection="1">
      <alignment horizontal="center"/>
      <protection locked="0"/>
    </xf>
    <xf numFmtId="0" fontId="9" fillId="34" borderId="13" xfId="50" applyFont="1" applyFill="1" applyBorder="1" applyAlignment="1" applyProtection="1">
      <alignment horizontal="center"/>
      <protection locked="0"/>
    </xf>
    <xf numFmtId="0" fontId="9" fillId="0" borderId="13" xfId="50" applyNumberFormat="1" applyFont="1" applyBorder="1" applyAlignment="1" applyProtection="1">
      <alignment horizontal="left" vertical="top" wrapText="1"/>
      <protection/>
    </xf>
    <xf numFmtId="0" fontId="9" fillId="0" borderId="12" xfId="50" applyNumberFormat="1" applyFont="1" applyBorder="1" applyAlignment="1" applyProtection="1">
      <alignment horizontal="left" vertical="top" wrapText="1"/>
      <protection/>
    </xf>
    <xf numFmtId="0" fontId="9" fillId="34" borderId="12" xfId="50" applyFont="1" applyFill="1" applyBorder="1" applyAlignment="1" applyProtection="1">
      <alignment horizontal="center" vertical="top" wrapText="1"/>
      <protection locked="0"/>
    </xf>
    <xf numFmtId="0" fontId="9" fillId="0" borderId="20" xfId="50" applyNumberFormat="1" applyFont="1" applyBorder="1" applyAlignment="1" applyProtection="1">
      <alignment horizontal="left" vertical="top" wrapText="1"/>
      <protection/>
    </xf>
    <xf numFmtId="0" fontId="9" fillId="0" borderId="16" xfId="50" applyNumberFormat="1" applyFont="1" applyBorder="1" applyAlignment="1" applyProtection="1">
      <alignment horizontal="left" vertical="top" wrapText="1"/>
      <protection/>
    </xf>
    <xf numFmtId="43" fontId="9" fillId="0" borderId="16" xfId="65" applyFont="1" applyFill="1" applyBorder="1" applyAlignment="1" applyProtection="1">
      <alignment horizontal="center" vertical="top" wrapText="1"/>
      <protection/>
    </xf>
    <xf numFmtId="43" fontId="9" fillId="0" borderId="19" xfId="65" applyFont="1" applyFill="1" applyBorder="1" applyAlignment="1" applyProtection="1">
      <alignment horizontal="center" vertical="top" wrapText="1"/>
      <protection/>
    </xf>
    <xf numFmtId="43" fontId="9" fillId="0" borderId="20" xfId="65" applyFont="1" applyFill="1" applyBorder="1" applyAlignment="1" applyProtection="1">
      <alignment horizontal="center" vertical="top" wrapText="1"/>
      <protection/>
    </xf>
    <xf numFmtId="0" fontId="9" fillId="0" borderId="0" xfId="50" applyNumberFormat="1" applyFont="1" applyFill="1" applyBorder="1" applyAlignment="1" applyProtection="1">
      <alignment horizontal="left"/>
      <protection locked="0"/>
    </xf>
    <xf numFmtId="0" fontId="9" fillId="0" borderId="24" xfId="50" applyNumberFormat="1" applyFont="1" applyFill="1" applyBorder="1" applyAlignment="1" applyProtection="1">
      <alignment horizontal="left"/>
      <protection locked="0"/>
    </xf>
    <xf numFmtId="0" fontId="19" fillId="0" borderId="0" xfId="50" applyNumberFormat="1" applyFont="1" applyFill="1" applyBorder="1" applyAlignment="1" applyProtection="1">
      <alignment horizontal="left"/>
      <protection/>
    </xf>
    <xf numFmtId="0" fontId="19" fillId="0" borderId="0" xfId="50" applyNumberFormat="1" applyFont="1" applyFill="1" applyAlignment="1" applyProtection="1">
      <alignment horizontal="left" wrapText="1"/>
      <protection/>
    </xf>
    <xf numFmtId="0" fontId="19" fillId="0" borderId="0" xfId="5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9" fillId="33" borderId="15" xfId="50" applyFont="1" applyFill="1" applyBorder="1" applyAlignment="1" applyProtection="1">
      <alignment horizontal="center" vertical="center" wrapText="1"/>
      <protection/>
    </xf>
    <xf numFmtId="0" fontId="9" fillId="33" borderId="12" xfId="50" applyFont="1" applyFill="1" applyBorder="1" applyAlignment="1" applyProtection="1">
      <alignment horizontal="center" vertical="center" wrapText="1"/>
      <protection/>
    </xf>
    <xf numFmtId="0" fontId="9" fillId="33" borderId="16" xfId="50" applyFont="1" applyFill="1" applyBorder="1" applyAlignment="1" applyProtection="1">
      <alignment horizontal="center" vertical="center" wrapText="1"/>
      <protection/>
    </xf>
    <xf numFmtId="0" fontId="9" fillId="33" borderId="19" xfId="50" applyFont="1" applyFill="1" applyBorder="1" applyAlignment="1" applyProtection="1">
      <alignment horizontal="center" vertical="center" wrapText="1"/>
      <protection/>
    </xf>
    <xf numFmtId="0" fontId="17" fillId="43" borderId="21" xfId="50" applyFont="1" applyFill="1" applyBorder="1" applyAlignment="1" applyProtection="1">
      <alignment horizontal="center"/>
      <protection/>
    </xf>
    <xf numFmtId="0" fontId="17" fillId="43" borderId="20" xfId="50" applyFont="1" applyFill="1" applyBorder="1" applyAlignment="1" applyProtection="1">
      <alignment horizontal="center"/>
      <protection/>
    </xf>
    <xf numFmtId="0" fontId="9" fillId="33" borderId="21" xfId="51" applyFont="1" applyFill="1" applyBorder="1" applyAlignment="1" applyProtection="1">
      <alignment horizontal="center" vertical="center" wrapText="1"/>
      <protection/>
    </xf>
    <xf numFmtId="0" fontId="9" fillId="33" borderId="13" xfId="51" applyFont="1" applyFill="1" applyBorder="1" applyAlignment="1" applyProtection="1">
      <alignment horizontal="center" vertical="center" wrapText="1"/>
      <protection/>
    </xf>
    <xf numFmtId="0" fontId="9" fillId="33" borderId="21" xfId="50" applyFont="1" applyFill="1" applyBorder="1" applyAlignment="1" applyProtection="1">
      <alignment horizontal="center" vertical="center" wrapText="1"/>
      <protection/>
    </xf>
    <xf numFmtId="0" fontId="9" fillId="33" borderId="24" xfId="50" applyFont="1" applyFill="1" applyBorder="1" applyAlignment="1" applyProtection="1">
      <alignment horizontal="center" vertical="center" wrapText="1"/>
      <protection/>
    </xf>
    <xf numFmtId="0" fontId="9" fillId="33" borderId="13" xfId="50" applyFont="1" applyFill="1" applyBorder="1" applyAlignment="1" applyProtection="1">
      <alignment horizontal="center" vertical="center" wrapText="1"/>
      <protection/>
    </xf>
    <xf numFmtId="0" fontId="9" fillId="33" borderId="0" xfId="50" applyFont="1" applyFill="1" applyBorder="1" applyAlignment="1" applyProtection="1">
      <alignment horizontal="center" vertical="center" wrapText="1"/>
      <protection/>
    </xf>
    <xf numFmtId="0" fontId="9" fillId="33" borderId="20" xfId="50" applyFont="1" applyFill="1" applyBorder="1" applyAlignment="1" applyProtection="1">
      <alignment horizontal="center" vertical="center" wrapText="1"/>
      <protection/>
    </xf>
    <xf numFmtId="0" fontId="9" fillId="33" borderId="14" xfId="50" applyFont="1" applyFill="1" applyBorder="1" applyAlignment="1" applyProtection="1">
      <alignment horizontal="center" vertical="center" wrapText="1"/>
      <protection/>
    </xf>
    <xf numFmtId="0" fontId="9" fillId="33" borderId="21" xfId="50" applyFont="1" applyFill="1" applyBorder="1" applyAlignment="1" applyProtection="1">
      <alignment horizontal="center" vertical="center"/>
      <protection locked="0"/>
    </xf>
    <xf numFmtId="0" fontId="9" fillId="33" borderId="24" xfId="50" applyFont="1" applyFill="1" applyBorder="1" applyAlignment="1" applyProtection="1">
      <alignment horizontal="center" vertical="center"/>
      <protection locked="0"/>
    </xf>
    <xf numFmtId="0" fontId="9" fillId="33" borderId="13" xfId="50" applyFont="1" applyFill="1" applyBorder="1" applyAlignment="1" applyProtection="1">
      <alignment horizontal="center" vertical="center"/>
      <protection locked="0"/>
    </xf>
    <xf numFmtId="0" fontId="9" fillId="33" borderId="0" xfId="50" applyFont="1" applyFill="1" applyBorder="1" applyAlignment="1" applyProtection="1">
      <alignment horizontal="center" vertical="center"/>
      <protection locked="0"/>
    </xf>
    <xf numFmtId="0" fontId="9" fillId="33" borderId="20" xfId="50" applyFont="1" applyFill="1" applyBorder="1" applyAlignment="1" applyProtection="1">
      <alignment horizontal="center" vertical="center"/>
      <protection locked="0"/>
    </xf>
    <xf numFmtId="0" fontId="9" fillId="33" borderId="14" xfId="50" applyFont="1" applyFill="1" applyBorder="1" applyAlignment="1" applyProtection="1">
      <alignment horizontal="center" vertical="center"/>
      <protection locked="0"/>
    </xf>
    <xf numFmtId="0" fontId="9" fillId="33" borderId="17" xfId="50" applyFont="1" applyFill="1" applyBorder="1" applyAlignment="1" applyProtection="1">
      <alignment horizontal="center" vertical="center"/>
      <protection/>
    </xf>
    <xf numFmtId="0" fontId="9" fillId="33" borderId="19" xfId="50" applyFont="1" applyFill="1" applyBorder="1" applyAlignment="1" applyProtection="1">
      <alignment horizontal="center" vertical="center"/>
      <protection/>
    </xf>
    <xf numFmtId="0" fontId="9" fillId="33" borderId="17" xfId="50" applyNumberFormat="1" applyFont="1" applyFill="1" applyBorder="1" applyAlignment="1" applyProtection="1">
      <alignment horizontal="center" vertical="center"/>
      <protection/>
    </xf>
    <xf numFmtId="0" fontId="9" fillId="33" borderId="19" xfId="50" applyNumberFormat="1" applyFont="1" applyFill="1" applyBorder="1" applyAlignment="1" applyProtection="1">
      <alignment horizontal="center" vertical="center"/>
      <protection/>
    </xf>
    <xf numFmtId="0" fontId="9" fillId="0" borderId="14" xfId="50" applyFont="1" applyFill="1" applyBorder="1" applyAlignment="1" applyProtection="1">
      <alignment horizontal="left" vertical="center"/>
      <protection/>
    </xf>
    <xf numFmtId="0" fontId="9" fillId="0" borderId="16" xfId="50" applyFont="1" applyFill="1" applyBorder="1" applyAlignment="1" applyProtection="1">
      <alignment horizontal="left" vertical="center"/>
      <protection/>
    </xf>
    <xf numFmtId="0" fontId="3" fillId="0" borderId="0" xfId="50" applyFont="1" applyFill="1" applyBorder="1" applyAlignment="1" applyProtection="1">
      <alignment vertical="top" wrapText="1"/>
      <protection/>
    </xf>
    <xf numFmtId="0" fontId="9" fillId="0" borderId="0" xfId="50" applyNumberFormat="1" applyFont="1" applyFill="1" applyAlignment="1" applyProtection="1">
      <alignment/>
      <protection/>
    </xf>
    <xf numFmtId="49" fontId="9" fillId="0" borderId="0" xfId="50" applyNumberFormat="1" applyFont="1" applyFill="1" applyAlignment="1" applyProtection="1">
      <alignment/>
      <protection/>
    </xf>
    <xf numFmtId="0" fontId="17" fillId="0" borderId="0" xfId="50" applyFont="1" applyFill="1" applyAlignment="1" applyProtection="1">
      <alignment/>
      <protection/>
    </xf>
    <xf numFmtId="0" fontId="9" fillId="0" borderId="0" xfId="50" applyFont="1" applyFill="1" applyAlignment="1" applyProtection="1">
      <alignment/>
      <protection/>
    </xf>
    <xf numFmtId="43" fontId="0" fillId="34" borderId="13" xfId="65" applyFont="1" applyFill="1" applyBorder="1" applyAlignment="1" applyProtection="1">
      <alignment horizontal="center"/>
      <protection locked="0"/>
    </xf>
    <xf numFmtId="43" fontId="0" fillId="34" borderId="0" xfId="65" applyFont="1" applyFill="1" applyBorder="1" applyAlignment="1" applyProtection="1">
      <alignment horizontal="center"/>
      <protection locked="0"/>
    </xf>
    <xf numFmtId="0" fontId="20" fillId="0" borderId="0" xfId="50" applyNumberFormat="1" applyFont="1" applyFill="1" applyAlignment="1" applyProtection="1">
      <alignment horizontal="center"/>
      <protection/>
    </xf>
    <xf numFmtId="0" fontId="17" fillId="0" borderId="0" xfId="50" applyFont="1" applyFill="1" applyBorder="1" applyAlignment="1" applyProtection="1">
      <alignment horizontal="left"/>
      <protection/>
    </xf>
    <xf numFmtId="0" fontId="17" fillId="33" borderId="14" xfId="50" applyFont="1" applyFill="1" applyBorder="1" applyAlignment="1" applyProtection="1">
      <alignment horizontal="center" vertical="center"/>
      <protection/>
    </xf>
    <xf numFmtId="0" fontId="21" fillId="0" borderId="0" xfId="51" applyFont="1" applyFill="1" applyBorder="1" applyAlignment="1" applyProtection="1">
      <alignment horizontal="center"/>
      <protection/>
    </xf>
    <xf numFmtId="0" fontId="21" fillId="0" borderId="0" xfId="51" applyFont="1" applyFill="1" applyBorder="1" applyAlignment="1" applyProtection="1">
      <alignment horizontal="center" vertical="center"/>
      <protection/>
    </xf>
    <xf numFmtId="0" fontId="9" fillId="0" borderId="0" xfId="50" applyFont="1" applyFill="1" applyBorder="1" applyAlignment="1" applyProtection="1">
      <alignment horizontal="left" wrapText="1"/>
      <protection/>
    </xf>
    <xf numFmtId="0" fontId="9" fillId="0" borderId="12" xfId="50" applyFont="1" applyFill="1" applyBorder="1" applyAlignment="1" applyProtection="1">
      <alignment horizontal="left" wrapText="1"/>
      <protection/>
    </xf>
    <xf numFmtId="0" fontId="9" fillId="0" borderId="23" xfId="50" applyFont="1" applyFill="1" applyBorder="1" applyAlignment="1" applyProtection="1">
      <alignment horizontal="center" vertical="center"/>
      <protection/>
    </xf>
    <xf numFmtId="0" fontId="9" fillId="0" borderId="11" xfId="50" applyFont="1" applyFill="1" applyBorder="1" applyAlignment="1" applyProtection="1">
      <alignment horizontal="center" vertical="center"/>
      <protection/>
    </xf>
    <xf numFmtId="0" fontId="9" fillId="0" borderId="10" xfId="50" applyFont="1" applyFill="1" applyBorder="1" applyAlignment="1" applyProtection="1">
      <alignment horizontal="center" vertical="center"/>
      <protection/>
    </xf>
    <xf numFmtId="43" fontId="0" fillId="34" borderId="21" xfId="65" applyFont="1" applyFill="1" applyBorder="1" applyAlignment="1" applyProtection="1">
      <alignment horizontal="center"/>
      <protection locked="0"/>
    </xf>
    <xf numFmtId="43" fontId="0" fillId="34" borderId="24" xfId="65" applyFont="1" applyFill="1" applyBorder="1" applyAlignment="1" applyProtection="1">
      <alignment horizontal="center"/>
      <protection locked="0"/>
    </xf>
    <xf numFmtId="0" fontId="9" fillId="33" borderId="21" xfId="51" applyFont="1" applyFill="1" applyBorder="1" applyAlignment="1" applyProtection="1">
      <alignment horizontal="center" wrapText="1"/>
      <protection/>
    </xf>
    <xf numFmtId="0" fontId="9" fillId="33" borderId="13" xfId="51" applyFont="1" applyFill="1" applyBorder="1" applyAlignment="1" applyProtection="1">
      <alignment horizontal="center" wrapText="1"/>
      <protection/>
    </xf>
    <xf numFmtId="0" fontId="9" fillId="0" borderId="14" xfId="50" applyFont="1" applyFill="1" applyBorder="1" applyAlignment="1" applyProtection="1">
      <alignment horizontal="left" wrapText="1"/>
      <protection/>
    </xf>
    <xf numFmtId="43" fontId="0" fillId="34" borderId="20" xfId="65" applyFont="1" applyFill="1" applyBorder="1" applyAlignment="1" applyProtection="1">
      <alignment horizontal="center"/>
      <protection locked="0"/>
    </xf>
    <xf numFmtId="43" fontId="0" fillId="34" borderId="14" xfId="65" applyFont="1" applyFill="1" applyBorder="1" applyAlignment="1" applyProtection="1">
      <alignment horizontal="center"/>
      <protection locked="0"/>
    </xf>
    <xf numFmtId="0" fontId="9" fillId="0" borderId="11" xfId="50" applyFont="1" applyFill="1" applyBorder="1" applyAlignment="1" applyProtection="1">
      <alignment horizontal="left" wrapText="1"/>
      <protection/>
    </xf>
    <xf numFmtId="0" fontId="9" fillId="0" borderId="10" xfId="50" applyFont="1" applyFill="1" applyBorder="1" applyAlignment="1" applyProtection="1">
      <alignment horizontal="left" wrapText="1"/>
      <protection/>
    </xf>
    <xf numFmtId="43" fontId="0" fillId="0" borderId="23" xfId="65" applyFont="1" applyFill="1" applyBorder="1" applyAlignment="1" applyProtection="1">
      <alignment horizontal="center"/>
      <protection/>
    </xf>
    <xf numFmtId="43" fontId="0" fillId="0" borderId="11" xfId="65" applyFont="1" applyFill="1" applyBorder="1" applyAlignment="1" applyProtection="1">
      <alignment horizontal="center"/>
      <protection/>
    </xf>
    <xf numFmtId="0" fontId="3" fillId="0" borderId="0" xfId="50" applyFont="1" applyBorder="1" applyAlignment="1" applyProtection="1">
      <alignment horizontal="left" vertical="top" wrapText="1"/>
      <protection/>
    </xf>
    <xf numFmtId="0" fontId="9" fillId="0" borderId="0" xfId="50" applyFont="1" applyBorder="1" applyAlignment="1" applyProtection="1">
      <alignment horizontal="right" vertical="top" wrapText="1"/>
      <protection/>
    </xf>
    <xf numFmtId="0" fontId="17" fillId="0" borderId="0" xfId="50" applyFont="1" applyFill="1" applyAlignment="1" applyProtection="1">
      <alignment horizontal="left" vertical="top" wrapText="1"/>
      <protection/>
    </xf>
    <xf numFmtId="0" fontId="9" fillId="0" borderId="0" xfId="50" applyFont="1" applyAlignment="1" applyProtection="1">
      <alignment horizontal="right" vertical="top" wrapText="1"/>
      <protection/>
    </xf>
    <xf numFmtId="0" fontId="17" fillId="33" borderId="21" xfId="50" applyFont="1" applyFill="1" applyBorder="1" applyAlignment="1" applyProtection="1">
      <alignment horizontal="center" vertical="center" wrapText="1"/>
      <protection/>
    </xf>
    <xf numFmtId="0" fontId="17" fillId="33" borderId="24" xfId="50" applyFont="1" applyFill="1" applyBorder="1" applyAlignment="1" applyProtection="1">
      <alignment horizontal="center" vertical="center" wrapText="1"/>
      <protection/>
    </xf>
    <xf numFmtId="0" fontId="17" fillId="33" borderId="15" xfId="50" applyFont="1" applyFill="1" applyBorder="1" applyAlignment="1" applyProtection="1">
      <alignment horizontal="center" vertical="center" wrapText="1"/>
      <protection/>
    </xf>
    <xf numFmtId="0" fontId="17" fillId="33" borderId="20" xfId="50" applyFont="1" applyFill="1" applyBorder="1" applyAlignment="1" applyProtection="1">
      <alignment horizontal="center" vertical="top" wrapText="1"/>
      <protection/>
    </xf>
    <xf numFmtId="0" fontId="17" fillId="33" borderId="14" xfId="50" applyFont="1" applyFill="1" applyBorder="1" applyAlignment="1" applyProtection="1">
      <alignment horizontal="center" vertical="top" wrapText="1"/>
      <protection/>
    </xf>
    <xf numFmtId="0" fontId="17" fillId="33" borderId="16" xfId="50" applyFont="1" applyFill="1" applyBorder="1" applyAlignment="1" applyProtection="1">
      <alignment horizontal="center" vertical="top" wrapText="1"/>
      <protection/>
    </xf>
    <xf numFmtId="43" fontId="9" fillId="34" borderId="22" xfId="65" applyFont="1" applyFill="1" applyBorder="1" applyAlignment="1" applyProtection="1">
      <alignment horizontal="center" vertical="top" wrapText="1"/>
      <protection locked="0"/>
    </xf>
    <xf numFmtId="0" fontId="9" fillId="0" borderId="22" xfId="50" applyFont="1" applyBorder="1" applyAlignment="1" applyProtection="1">
      <alignment horizontal="right" vertical="top" wrapText="1"/>
      <protection/>
    </xf>
    <xf numFmtId="0" fontId="9" fillId="0" borderId="23" xfId="50" applyFont="1" applyBorder="1" applyAlignment="1" applyProtection="1">
      <alignment horizontal="right" vertical="top" wrapText="1"/>
      <protection/>
    </xf>
    <xf numFmtId="0" fontId="17" fillId="33" borderId="19" xfId="50" applyFont="1" applyFill="1" applyBorder="1" applyAlignment="1" applyProtection="1">
      <alignment horizontal="center" vertical="top" wrapText="1"/>
      <protection/>
    </xf>
    <xf numFmtId="0" fontId="17" fillId="33" borderId="19" xfId="50" applyFont="1" applyFill="1" applyBorder="1" applyAlignment="1" applyProtection="1">
      <alignment horizontal="center" vertical="top"/>
      <protection/>
    </xf>
    <xf numFmtId="43" fontId="9" fillId="34" borderId="17" xfId="65" applyFont="1" applyFill="1" applyBorder="1" applyAlignment="1" applyProtection="1">
      <alignment horizontal="right" vertical="top" wrapText="1"/>
      <protection locked="0"/>
    </xf>
    <xf numFmtId="43" fontId="9" fillId="34" borderId="18" xfId="65" applyFont="1" applyFill="1" applyBorder="1" applyAlignment="1" applyProtection="1">
      <alignment horizontal="right" vertical="top" wrapText="1"/>
      <protection locked="0"/>
    </xf>
    <xf numFmtId="43" fontId="9" fillId="0" borderId="22" xfId="65" applyFont="1" applyBorder="1" applyAlignment="1" applyProtection="1">
      <alignment horizontal="right" vertical="top" wrapText="1"/>
      <protection/>
    </xf>
    <xf numFmtId="0" fontId="9" fillId="0" borderId="0" xfId="50" applyFont="1" applyBorder="1" applyAlignment="1" applyProtection="1">
      <alignment horizontal="left" vertical="top" wrapText="1"/>
      <protection locked="0"/>
    </xf>
    <xf numFmtId="0" fontId="9" fillId="37" borderId="21" xfId="50" applyFont="1" applyFill="1" applyBorder="1" applyAlignment="1" applyProtection="1">
      <alignment horizontal="center" vertical="center" wrapText="1"/>
      <protection/>
    </xf>
    <xf numFmtId="0" fontId="9" fillId="37" borderId="15" xfId="50" applyFont="1" applyFill="1" applyBorder="1" applyAlignment="1" applyProtection="1">
      <alignment horizontal="center" vertical="center" wrapText="1"/>
      <protection/>
    </xf>
    <xf numFmtId="0" fontId="9" fillId="37" borderId="20" xfId="50" applyFont="1" applyFill="1" applyBorder="1" applyAlignment="1" applyProtection="1">
      <alignment horizontal="center" vertical="center" wrapText="1"/>
      <protection/>
    </xf>
    <xf numFmtId="0" fontId="9" fillId="37" borderId="16" xfId="50" applyFont="1" applyFill="1" applyBorder="1" applyAlignment="1" applyProtection="1">
      <alignment horizontal="center" vertical="center" wrapText="1"/>
      <protection/>
    </xf>
    <xf numFmtId="0" fontId="9" fillId="0" borderId="0" xfId="50" applyFont="1" applyAlignment="1" applyProtection="1">
      <alignment horizontal="justify" vertical="top" wrapText="1"/>
      <protection/>
    </xf>
    <xf numFmtId="0" fontId="19" fillId="0" borderId="0" xfId="50" applyFont="1" applyAlignment="1" applyProtection="1">
      <alignment horizontal="justify" vertical="top" wrapText="1"/>
      <protection/>
    </xf>
    <xf numFmtId="0" fontId="9" fillId="0" borderId="0" xfId="50" applyFont="1" applyAlignment="1" applyProtection="1">
      <alignment horizontal="left" vertical="top" wrapText="1" indent="4"/>
      <protection/>
    </xf>
    <xf numFmtId="0" fontId="18" fillId="33" borderId="17" xfId="50" applyFont="1" applyFill="1" applyBorder="1" applyAlignment="1" applyProtection="1">
      <alignment horizontal="center" vertical="center" wrapText="1"/>
      <protection/>
    </xf>
    <xf numFmtId="0" fontId="18" fillId="33" borderId="19" xfId="50" applyFont="1" applyFill="1" applyBorder="1" applyAlignment="1" applyProtection="1">
      <alignment horizontal="center" vertical="center" wrapText="1"/>
      <protection/>
    </xf>
    <xf numFmtId="0" fontId="18" fillId="33" borderId="18" xfId="50" applyFont="1" applyFill="1" applyBorder="1" applyAlignment="1" applyProtection="1">
      <alignment horizontal="center" vertical="center" wrapText="1"/>
      <protection/>
    </xf>
    <xf numFmtId="0" fontId="17" fillId="33" borderId="13" xfId="50" applyFont="1" applyFill="1" applyBorder="1" applyAlignment="1" applyProtection="1">
      <alignment horizontal="center" vertical="center" wrapText="1"/>
      <protection/>
    </xf>
    <xf numFmtId="43" fontId="9" fillId="33" borderId="21" xfId="50" applyNumberFormat="1" applyFont="1" applyFill="1" applyBorder="1" applyAlignment="1" applyProtection="1">
      <alignment horizontal="center" vertical="center" wrapText="1"/>
      <protection/>
    </xf>
    <xf numFmtId="0" fontId="9" fillId="0" borderId="0" xfId="50" applyFont="1" applyAlignment="1" applyProtection="1">
      <alignment wrapText="1"/>
      <protection/>
    </xf>
    <xf numFmtId="0" fontId="9" fillId="0" borderId="0" xfId="50" applyFont="1" applyBorder="1" applyAlignment="1" applyProtection="1">
      <alignment wrapText="1"/>
      <protection/>
    </xf>
    <xf numFmtId="0" fontId="17" fillId="33" borderId="12" xfId="50" applyFont="1" applyFill="1" applyBorder="1" applyAlignment="1" applyProtection="1">
      <alignment horizontal="center" vertical="center" wrapText="1"/>
      <protection/>
    </xf>
    <xf numFmtId="0" fontId="17" fillId="33" borderId="20" xfId="50" applyFont="1" applyFill="1" applyBorder="1" applyAlignment="1" applyProtection="1">
      <alignment horizontal="center" vertical="center" wrapText="1"/>
      <protection/>
    </xf>
    <xf numFmtId="0" fontId="17" fillId="33" borderId="16" xfId="5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9" fillId="33" borderId="21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33" borderId="20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43" fontId="2" fillId="34" borderId="21" xfId="65" applyFont="1" applyFill="1" applyBorder="1" applyAlignment="1" applyProtection="1">
      <alignment horizontal="center"/>
      <protection locked="0"/>
    </xf>
    <xf numFmtId="43" fontId="2" fillId="34" borderId="15" xfId="65" applyFont="1" applyFill="1" applyBorder="1" applyAlignment="1" applyProtection="1">
      <alignment horizontal="center"/>
      <protection locked="0"/>
    </xf>
    <xf numFmtId="43" fontId="2" fillId="0" borderId="21" xfId="65" applyFont="1" applyFill="1" applyBorder="1" applyAlignment="1" applyProtection="1">
      <alignment horizontal="center"/>
      <protection/>
    </xf>
    <xf numFmtId="43" fontId="2" fillId="0" borderId="15" xfId="65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43" fontId="2" fillId="34" borderId="13" xfId="65" applyFont="1" applyFill="1" applyBorder="1" applyAlignment="1" applyProtection="1">
      <alignment horizontal="center"/>
      <protection locked="0"/>
    </xf>
    <xf numFmtId="43" fontId="2" fillId="34" borderId="12" xfId="65" applyFont="1" applyFill="1" applyBorder="1" applyAlignment="1" applyProtection="1">
      <alignment horizontal="center"/>
      <protection locked="0"/>
    </xf>
    <xf numFmtId="43" fontId="2" fillId="0" borderId="13" xfId="65" applyFont="1" applyFill="1" applyBorder="1" applyAlignment="1" applyProtection="1">
      <alignment horizontal="center"/>
      <protection/>
    </xf>
    <xf numFmtId="43" fontId="2" fillId="0" borderId="12" xfId="65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43" fontId="2" fillId="34" borderId="20" xfId="65" applyFont="1" applyFill="1" applyBorder="1" applyAlignment="1" applyProtection="1">
      <alignment horizontal="center"/>
      <protection locked="0"/>
    </xf>
    <xf numFmtId="43" fontId="2" fillId="34" borderId="16" xfId="65" applyFont="1" applyFill="1" applyBorder="1" applyAlignment="1" applyProtection="1">
      <alignment horizontal="center"/>
      <protection locked="0"/>
    </xf>
    <xf numFmtId="43" fontId="2" fillId="0" borderId="20" xfId="65" applyFont="1" applyFill="1" applyBorder="1" applyAlignment="1" applyProtection="1">
      <alignment horizontal="center"/>
      <protection/>
    </xf>
    <xf numFmtId="43" fontId="2" fillId="0" borderId="16" xfId="65" applyFont="1" applyFill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/>
      <protection locked="0"/>
    </xf>
    <xf numFmtId="0" fontId="117" fillId="38" borderId="0" xfId="0" applyFont="1" applyFill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justify" vertical="top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49" fontId="13" fillId="33" borderId="15" xfId="50" applyNumberFormat="1" applyFont="1" applyFill="1" applyBorder="1" applyAlignment="1" applyProtection="1">
      <alignment horizontal="center" vertical="center"/>
      <protection/>
    </xf>
    <xf numFmtId="0" fontId="16" fillId="33" borderId="16" xfId="50" applyFont="1" applyFill="1" applyBorder="1" applyAlignment="1" applyProtection="1">
      <alignment vertical="center"/>
      <protection/>
    </xf>
    <xf numFmtId="43" fontId="2" fillId="0" borderId="14" xfId="65" applyFont="1" applyFill="1" applyBorder="1" applyAlignment="1" applyProtection="1">
      <alignment horizontal="center"/>
      <protection/>
    </xf>
    <xf numFmtId="0" fontId="9" fillId="0" borderId="24" xfId="50" applyFont="1" applyBorder="1" applyAlignment="1" applyProtection="1">
      <alignment horizontal="left" vertical="center" wrapText="1"/>
      <protection locked="0"/>
    </xf>
    <xf numFmtId="0" fontId="2" fillId="0" borderId="0" xfId="50" applyFont="1" applyFill="1" applyAlignment="1" applyProtection="1">
      <alignment horizontal="left"/>
      <protection/>
    </xf>
    <xf numFmtId="0" fontId="4" fillId="0" borderId="0" xfId="50" applyFont="1" applyFill="1" applyAlignment="1" applyProtection="1">
      <alignment horizontal="left"/>
      <protection/>
    </xf>
    <xf numFmtId="0" fontId="4" fillId="33" borderId="21" xfId="50" applyFont="1" applyFill="1" applyBorder="1" applyAlignment="1" applyProtection="1">
      <alignment horizontal="center"/>
      <protection/>
    </xf>
    <xf numFmtId="0" fontId="4" fillId="33" borderId="24" xfId="50" applyFont="1" applyFill="1" applyBorder="1" applyAlignment="1" applyProtection="1">
      <alignment horizontal="center"/>
      <protection/>
    </xf>
    <xf numFmtId="0" fontId="4" fillId="33" borderId="15" xfId="50" applyFont="1" applyFill="1" applyBorder="1" applyAlignment="1" applyProtection="1">
      <alignment horizontal="center"/>
      <protection/>
    </xf>
    <xf numFmtId="0" fontId="13" fillId="33" borderId="15" xfId="50" applyFont="1" applyFill="1" applyBorder="1" applyAlignment="1" applyProtection="1">
      <alignment horizontal="center" vertical="center"/>
      <protection/>
    </xf>
    <xf numFmtId="0" fontId="13" fillId="33" borderId="16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Border="1" applyAlignment="1" applyProtection="1">
      <alignment horizontal="justify" wrapText="1"/>
      <protection/>
    </xf>
    <xf numFmtId="0" fontId="2" fillId="0" borderId="0" xfId="50" applyFont="1" applyFill="1" applyBorder="1" applyAlignment="1" applyProtection="1">
      <alignment horizontal="justify"/>
      <protection/>
    </xf>
    <xf numFmtId="0" fontId="2" fillId="0" borderId="0" xfId="50" applyFont="1" applyFill="1" applyBorder="1" applyAlignment="1" applyProtection="1">
      <alignment horizontal="left"/>
      <protection/>
    </xf>
    <xf numFmtId="0" fontId="4" fillId="33" borderId="20" xfId="50" applyFont="1" applyFill="1" applyBorder="1" applyAlignment="1" applyProtection="1">
      <alignment horizontal="center"/>
      <protection/>
    </xf>
    <xf numFmtId="0" fontId="4" fillId="33" borderId="14" xfId="50" applyFont="1" applyFill="1" applyBorder="1" applyAlignment="1" applyProtection="1">
      <alignment horizontal="center"/>
      <protection/>
    </xf>
    <xf numFmtId="0" fontId="4" fillId="33" borderId="16" xfId="50" applyFont="1" applyFill="1" applyBorder="1" applyAlignment="1" applyProtection="1">
      <alignment horizontal="center"/>
      <protection/>
    </xf>
    <xf numFmtId="43" fontId="2" fillId="0" borderId="24" xfId="65" applyFont="1" applyFill="1" applyBorder="1" applyAlignment="1" applyProtection="1">
      <alignment horizontal="center"/>
      <protection/>
    </xf>
    <xf numFmtId="43" fontId="2" fillId="34" borderId="0" xfId="65" applyFont="1" applyFill="1" applyBorder="1" applyAlignment="1" applyProtection="1">
      <alignment horizontal="center"/>
      <protection locked="0"/>
    </xf>
    <xf numFmtId="43" fontId="2" fillId="34" borderId="14" xfId="65" applyFont="1" applyFill="1" applyBorder="1" applyAlignment="1" applyProtection="1">
      <alignment horizontal="center"/>
      <protection locked="0"/>
    </xf>
    <xf numFmtId="0" fontId="4" fillId="33" borderId="21" xfId="50" applyNumberFormat="1" applyFont="1" applyFill="1" applyBorder="1" applyAlignment="1" applyProtection="1">
      <alignment horizontal="center"/>
      <protection locked="0"/>
    </xf>
    <xf numFmtId="0" fontId="4" fillId="33" borderId="24" xfId="50" applyNumberFormat="1" applyFont="1" applyFill="1" applyBorder="1" applyAlignment="1" applyProtection="1">
      <alignment horizontal="center"/>
      <protection locked="0"/>
    </xf>
    <xf numFmtId="0" fontId="4" fillId="33" borderId="15" xfId="50" applyNumberFormat="1" applyFont="1" applyFill="1" applyBorder="1" applyAlignment="1" applyProtection="1">
      <alignment horizontal="center"/>
      <protection locked="0"/>
    </xf>
    <xf numFmtId="37" fontId="4" fillId="33" borderId="14" xfId="50" applyNumberFormat="1" applyFont="1" applyFill="1" applyBorder="1" applyAlignment="1" applyProtection="1">
      <alignment horizontal="center"/>
      <protection/>
    </xf>
    <xf numFmtId="0" fontId="36" fillId="0" borderId="0" xfId="0" applyFont="1" applyFill="1" applyAlignment="1" applyProtection="1">
      <alignment horizontal="left"/>
      <protection/>
    </xf>
    <xf numFmtId="0" fontId="80" fillId="0" borderId="0" xfId="0" applyFont="1" applyFill="1" applyAlignment="1" applyProtection="1">
      <alignment horizontal="center"/>
      <protection/>
    </xf>
    <xf numFmtId="0" fontId="15" fillId="35" borderId="14" xfId="0" applyFont="1" applyFill="1" applyBorder="1" applyAlignment="1" applyProtection="1">
      <alignment horizontal="left"/>
      <protection/>
    </xf>
    <xf numFmtId="0" fontId="36" fillId="33" borderId="23" xfId="0" applyFont="1" applyFill="1" applyBorder="1" applyAlignment="1" applyProtection="1">
      <alignment horizontal="center"/>
      <protection/>
    </xf>
    <xf numFmtId="0" fontId="36" fillId="33" borderId="11" xfId="0" applyFont="1" applyFill="1" applyBorder="1" applyAlignment="1" applyProtection="1">
      <alignment horizontal="center"/>
      <protection/>
    </xf>
    <xf numFmtId="0" fontId="36" fillId="33" borderId="21" xfId="0" applyFont="1" applyFill="1" applyBorder="1" applyAlignment="1" applyProtection="1">
      <alignment horizontal="center"/>
      <protection/>
    </xf>
    <xf numFmtId="0" fontId="36" fillId="33" borderId="15" xfId="0" applyFont="1" applyFill="1" applyBorder="1" applyAlignment="1" applyProtection="1">
      <alignment horizontal="center"/>
      <protection/>
    </xf>
    <xf numFmtId="0" fontId="36" fillId="33" borderId="24" xfId="0" applyFont="1" applyFill="1" applyBorder="1" applyAlignment="1" applyProtection="1">
      <alignment horizontal="center"/>
      <protection/>
    </xf>
    <xf numFmtId="0" fontId="36" fillId="33" borderId="20" xfId="0" applyFont="1" applyFill="1" applyBorder="1" applyAlignment="1" applyProtection="1">
      <alignment horizontal="center"/>
      <protection/>
    </xf>
    <xf numFmtId="0" fontId="36" fillId="33" borderId="16" xfId="0" applyFont="1" applyFill="1" applyBorder="1" applyAlignment="1" applyProtection="1">
      <alignment horizontal="center"/>
      <protection/>
    </xf>
    <xf numFmtId="0" fontId="36" fillId="33" borderId="14" xfId="0" applyFont="1" applyFill="1" applyBorder="1" applyAlignment="1" applyProtection="1">
      <alignment horizontal="center"/>
      <protection/>
    </xf>
    <xf numFmtId="0" fontId="36" fillId="33" borderId="17" xfId="0" applyFont="1" applyFill="1" applyBorder="1" applyAlignment="1" applyProtection="1">
      <alignment horizontal="center" vertical="center" wrapText="1"/>
      <protection/>
    </xf>
    <xf numFmtId="0" fontId="36" fillId="33" borderId="18" xfId="0" applyFont="1" applyFill="1" applyBorder="1" applyAlignment="1" applyProtection="1">
      <alignment horizontal="center" vertical="center" wrapText="1"/>
      <protection/>
    </xf>
    <xf numFmtId="0" fontId="36" fillId="33" borderId="19" xfId="0" applyFont="1" applyFill="1" applyBorder="1" applyAlignment="1" applyProtection="1">
      <alignment horizontal="center" vertical="center" wrapText="1"/>
      <protection/>
    </xf>
    <xf numFmtId="43" fontId="15" fillId="0" borderId="21" xfId="65" applyFont="1" applyFill="1" applyBorder="1" applyAlignment="1" applyProtection="1">
      <alignment horizontal="center"/>
      <protection/>
    </xf>
    <xf numFmtId="43" fontId="15" fillId="0" borderId="15" xfId="65" applyFont="1" applyFill="1" applyBorder="1" applyAlignment="1" applyProtection="1">
      <alignment horizontal="center"/>
      <protection/>
    </xf>
    <xf numFmtId="10" fontId="9" fillId="0" borderId="13" xfId="53" applyNumberFormat="1" applyFont="1" applyFill="1" applyBorder="1" applyAlignment="1" applyProtection="1">
      <alignment horizontal="center" vertical="center"/>
      <protection/>
    </xf>
    <xf numFmtId="10" fontId="9" fillId="0" borderId="0" xfId="53" applyNumberFormat="1" applyFont="1" applyFill="1" applyBorder="1" applyAlignment="1" applyProtection="1">
      <alignment horizontal="center" vertical="center"/>
      <protection/>
    </xf>
    <xf numFmtId="43" fontId="15" fillId="34" borderId="13" xfId="65" applyFont="1" applyFill="1" applyBorder="1" applyAlignment="1" applyProtection="1">
      <alignment horizontal="center"/>
      <protection locked="0"/>
    </xf>
    <xf numFmtId="43" fontId="15" fillId="34" borderId="12" xfId="65" applyFont="1" applyFill="1" applyBorder="1" applyAlignment="1" applyProtection="1">
      <alignment horizontal="center"/>
      <protection locked="0"/>
    </xf>
    <xf numFmtId="43" fontId="15" fillId="0" borderId="13" xfId="65" applyFont="1" applyFill="1" applyBorder="1" applyAlignment="1" applyProtection="1">
      <alignment horizontal="center"/>
      <protection/>
    </xf>
    <xf numFmtId="43" fontId="15" fillId="0" borderId="12" xfId="65" applyFont="1" applyFill="1" applyBorder="1" applyAlignment="1" applyProtection="1">
      <alignment horizontal="center"/>
      <protection/>
    </xf>
    <xf numFmtId="43" fontId="36" fillId="0" borderId="23" xfId="65" applyFont="1" applyFill="1" applyBorder="1" applyAlignment="1" applyProtection="1">
      <alignment horizontal="center" vertical="center"/>
      <protection/>
    </xf>
    <xf numFmtId="43" fontId="36" fillId="0" borderId="10" xfId="65" applyFont="1" applyFill="1" applyBorder="1" applyAlignment="1" applyProtection="1">
      <alignment horizontal="center" vertical="center"/>
      <protection/>
    </xf>
    <xf numFmtId="10" fontId="9" fillId="0" borderId="23" xfId="53" applyNumberFormat="1" applyFont="1" applyFill="1" applyBorder="1" applyAlignment="1" applyProtection="1">
      <alignment horizontal="center" vertical="center"/>
      <protection/>
    </xf>
    <xf numFmtId="10" fontId="9" fillId="0" borderId="11" xfId="53" applyNumberFormat="1" applyFont="1" applyFill="1" applyBorder="1" applyAlignment="1" applyProtection="1">
      <alignment horizontal="center" vertical="center"/>
      <protection/>
    </xf>
    <xf numFmtId="43" fontId="36" fillId="0" borderId="23" xfId="65" applyFont="1" applyFill="1" applyBorder="1" applyAlignment="1" applyProtection="1">
      <alignment horizontal="center"/>
      <protection/>
    </xf>
    <xf numFmtId="43" fontId="36" fillId="0" borderId="10" xfId="65" applyFont="1" applyFill="1" applyBorder="1" applyAlignment="1" applyProtection="1">
      <alignment horizontal="center"/>
      <protection/>
    </xf>
    <xf numFmtId="0" fontId="36" fillId="33" borderId="23" xfId="0" applyFont="1" applyFill="1" applyBorder="1" applyAlignment="1" applyProtection="1">
      <alignment horizontal="center" vertical="center"/>
      <protection/>
    </xf>
    <xf numFmtId="0" fontId="36" fillId="33" borderId="11" xfId="0" applyFont="1" applyFill="1" applyBorder="1" applyAlignment="1" applyProtection="1">
      <alignment horizontal="center" vertical="center"/>
      <protection/>
    </xf>
    <xf numFmtId="0" fontId="65" fillId="0" borderId="11" xfId="0" applyFont="1" applyFill="1" applyBorder="1" applyAlignment="1" applyProtection="1">
      <alignment horizontal="center" vertical="center"/>
      <protection/>
    </xf>
    <xf numFmtId="0" fontId="36" fillId="33" borderId="21" xfId="50" applyFont="1" applyFill="1" applyBorder="1" applyAlignment="1" applyProtection="1">
      <alignment horizontal="center" vertical="center" wrapText="1"/>
      <protection/>
    </xf>
    <xf numFmtId="0" fontId="36" fillId="33" borderId="13" xfId="50" applyFont="1" applyFill="1" applyBorder="1" applyAlignment="1" applyProtection="1">
      <alignment horizontal="center" vertical="center" wrapText="1"/>
      <protection/>
    </xf>
    <xf numFmtId="0" fontId="36" fillId="33" borderId="20" xfId="5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left" vertical="center" wrapText="1"/>
      <protection/>
    </xf>
    <xf numFmtId="0" fontId="36" fillId="33" borderId="10" xfId="0" applyFont="1" applyFill="1" applyBorder="1" applyAlignment="1" applyProtection="1">
      <alignment horizontal="left" vertical="center" wrapText="1"/>
      <protection/>
    </xf>
    <xf numFmtId="10" fontId="79" fillId="35" borderId="23" xfId="53" applyNumberFormat="1" applyFont="1" applyFill="1" applyBorder="1" applyAlignment="1" applyProtection="1">
      <alignment horizontal="center" vertical="center" wrapText="1"/>
      <protection/>
    </xf>
    <xf numFmtId="10" fontId="79" fillId="35" borderId="11" xfId="53" applyNumberFormat="1" applyFont="1" applyFill="1" applyBorder="1" applyAlignment="1" applyProtection="1">
      <alignment horizontal="center" vertical="center" wrapText="1"/>
      <protection/>
    </xf>
    <xf numFmtId="43" fontId="15" fillId="35" borderId="23" xfId="65" applyFont="1" applyFill="1" applyBorder="1" applyAlignment="1" applyProtection="1">
      <alignment horizontal="center" vertical="center"/>
      <protection/>
    </xf>
    <xf numFmtId="43" fontId="15" fillId="35" borderId="11" xfId="65" applyFont="1" applyFill="1" applyBorder="1" applyAlignment="1" applyProtection="1">
      <alignment horizontal="center" vertical="center"/>
      <protection/>
    </xf>
    <xf numFmtId="0" fontId="106" fillId="35" borderId="24" xfId="0" applyFont="1" applyFill="1" applyBorder="1" applyAlignment="1" applyProtection="1">
      <alignment horizontal="left" wrapText="1"/>
      <protection locked="0"/>
    </xf>
    <xf numFmtId="0" fontId="106" fillId="35" borderId="15" xfId="0" applyFont="1" applyFill="1" applyBorder="1" applyAlignment="1" applyProtection="1">
      <alignment horizontal="left" wrapText="1"/>
      <protection locked="0"/>
    </xf>
    <xf numFmtId="43" fontId="15" fillId="34" borderId="21" xfId="65" applyFont="1" applyFill="1" applyBorder="1" applyAlignment="1" applyProtection="1">
      <alignment horizontal="center"/>
      <protection locked="0"/>
    </xf>
    <xf numFmtId="43" fontId="15" fillId="34" borderId="24" xfId="65" applyFont="1" applyFill="1" applyBorder="1" applyAlignment="1" applyProtection="1">
      <alignment horizontal="center"/>
      <protection locked="0"/>
    </xf>
    <xf numFmtId="0" fontId="36" fillId="33" borderId="21" xfId="0" applyFont="1" applyFill="1" applyBorder="1" applyAlignment="1" applyProtection="1">
      <alignment horizontal="center" vertical="center" wrapText="1"/>
      <protection/>
    </xf>
    <xf numFmtId="0" fontId="36" fillId="33" borderId="24" xfId="0" applyFont="1" applyFill="1" applyBorder="1" applyAlignment="1" applyProtection="1">
      <alignment horizontal="center" vertical="center" wrapText="1"/>
      <protection/>
    </xf>
    <xf numFmtId="0" fontId="36" fillId="33" borderId="20" xfId="0" applyFont="1" applyFill="1" applyBorder="1" applyAlignment="1" applyProtection="1">
      <alignment horizontal="center" vertical="center" wrapText="1"/>
      <protection/>
    </xf>
    <xf numFmtId="0" fontId="36" fillId="33" borderId="14" xfId="0" applyFont="1" applyFill="1" applyBorder="1" applyAlignment="1" applyProtection="1">
      <alignment horizontal="center" vertical="center" wrapText="1"/>
      <protection/>
    </xf>
    <xf numFmtId="0" fontId="106" fillId="35" borderId="0" xfId="0" applyFont="1" applyFill="1" applyBorder="1" applyAlignment="1" applyProtection="1">
      <alignment horizontal="left" wrapText="1"/>
      <protection locked="0"/>
    </xf>
    <xf numFmtId="0" fontId="106" fillId="35" borderId="12" xfId="0" applyFont="1" applyFill="1" applyBorder="1" applyAlignment="1" applyProtection="1">
      <alignment horizontal="left" wrapText="1"/>
      <protection locked="0"/>
    </xf>
    <xf numFmtId="43" fontId="15" fillId="34" borderId="0" xfId="65" applyFont="1" applyFill="1" applyBorder="1" applyAlignment="1" applyProtection="1">
      <alignment horizontal="center"/>
      <protection locked="0"/>
    </xf>
    <xf numFmtId="0" fontId="36" fillId="35" borderId="14" xfId="0" applyFont="1" applyFill="1" applyBorder="1" applyAlignment="1" applyProtection="1">
      <alignment horizontal="left" wrapText="1"/>
      <protection/>
    </xf>
    <xf numFmtId="0" fontId="36" fillId="35" borderId="16" xfId="0" applyFont="1" applyFill="1" applyBorder="1" applyAlignment="1" applyProtection="1">
      <alignment horizontal="left" wrapText="1"/>
      <protection/>
    </xf>
    <xf numFmtId="43" fontId="36" fillId="0" borderId="20" xfId="65" applyFont="1" applyFill="1" applyBorder="1" applyAlignment="1" applyProtection="1">
      <alignment horizontal="center" vertical="center" wrapText="1"/>
      <protection/>
    </xf>
    <xf numFmtId="43" fontId="36" fillId="0" borderId="14" xfId="65" applyFont="1" applyFill="1" applyBorder="1" applyAlignment="1" applyProtection="1">
      <alignment horizontal="center" vertical="center" wrapText="1"/>
      <protection/>
    </xf>
    <xf numFmtId="43" fontId="36" fillId="34" borderId="21" xfId="65" applyFont="1" applyFill="1" applyBorder="1" applyAlignment="1" applyProtection="1">
      <alignment horizontal="center" vertical="center" wrapText="1"/>
      <protection locked="0"/>
    </xf>
    <xf numFmtId="43" fontId="36" fillId="34" borderId="24" xfId="65" applyFont="1" applyFill="1" applyBorder="1" applyAlignment="1" applyProtection="1">
      <alignment horizontal="center" vertical="center" wrapText="1"/>
      <protection locked="0"/>
    </xf>
    <xf numFmtId="43" fontId="36" fillId="34" borderId="13" xfId="65" applyFont="1" applyFill="1" applyBorder="1" applyAlignment="1" applyProtection="1">
      <alignment horizontal="center" vertical="center" wrapText="1"/>
      <protection locked="0"/>
    </xf>
    <xf numFmtId="43" fontId="36" fillId="34" borderId="0" xfId="65" applyFont="1" applyFill="1" applyBorder="1" applyAlignment="1" applyProtection="1">
      <alignment horizontal="center" vertical="center" wrapText="1"/>
      <protection locked="0"/>
    </xf>
    <xf numFmtId="43" fontId="36" fillId="35" borderId="20" xfId="65" applyFont="1" applyFill="1" applyBorder="1" applyAlignment="1" applyProtection="1">
      <alignment horizontal="center" vertical="center" wrapText="1"/>
      <protection/>
    </xf>
    <xf numFmtId="43" fontId="36" fillId="35" borderId="14" xfId="65" applyFont="1" applyFill="1" applyBorder="1" applyAlignment="1" applyProtection="1">
      <alignment horizontal="center" vertical="center" wrapText="1"/>
      <protection/>
    </xf>
    <xf numFmtId="43" fontId="36" fillId="34" borderId="21" xfId="65" applyFont="1" applyFill="1" applyBorder="1" applyAlignment="1" applyProtection="1">
      <alignment horizontal="center" vertical="center"/>
      <protection locked="0"/>
    </xf>
    <xf numFmtId="43" fontId="36" fillId="34" borderId="24" xfId="65" applyFont="1" applyFill="1" applyBorder="1" applyAlignment="1" applyProtection="1">
      <alignment horizontal="center" vertical="center"/>
      <protection locked="0"/>
    </xf>
    <xf numFmtId="43" fontId="36" fillId="34" borderId="13" xfId="65" applyFont="1" applyFill="1" applyBorder="1" applyAlignment="1" applyProtection="1">
      <alignment horizontal="center" vertical="center"/>
      <protection locked="0"/>
    </xf>
    <xf numFmtId="43" fontId="36" fillId="34" borderId="0" xfId="65" applyFont="1" applyFill="1" applyBorder="1" applyAlignment="1" applyProtection="1">
      <alignment horizontal="center" vertical="center"/>
      <protection locked="0"/>
    </xf>
    <xf numFmtId="0" fontId="36" fillId="35" borderId="14" xfId="0" applyFont="1" applyFill="1" applyBorder="1" applyAlignment="1" applyProtection="1">
      <alignment/>
      <protection/>
    </xf>
    <xf numFmtId="0" fontId="15" fillId="0" borderId="24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67" fillId="33" borderId="24" xfId="0" applyFont="1" applyFill="1" applyBorder="1" applyAlignment="1" applyProtection="1">
      <alignment horizontal="center" vertical="center"/>
      <protection/>
    </xf>
    <xf numFmtId="0" fontId="67" fillId="33" borderId="0" xfId="0" applyFont="1" applyFill="1" applyBorder="1" applyAlignment="1" applyProtection="1">
      <alignment horizontal="center" vertical="center"/>
      <protection/>
    </xf>
    <xf numFmtId="0" fontId="67" fillId="33" borderId="14" xfId="0" applyFont="1" applyFill="1" applyBorder="1" applyAlignment="1" applyProtection="1">
      <alignment horizontal="center" vertical="center"/>
      <protection/>
    </xf>
    <xf numFmtId="0" fontId="67" fillId="33" borderId="15" xfId="0" applyFont="1" applyFill="1" applyBorder="1" applyAlignment="1" applyProtection="1">
      <alignment horizontal="center" vertical="center"/>
      <protection/>
    </xf>
    <xf numFmtId="0" fontId="67" fillId="33" borderId="12" xfId="0" applyFont="1" applyFill="1" applyBorder="1" applyAlignment="1" applyProtection="1">
      <alignment horizontal="center" vertical="center"/>
      <protection/>
    </xf>
    <xf numFmtId="0" fontId="67" fillId="33" borderId="15" xfId="0" applyFont="1" applyFill="1" applyBorder="1" applyAlignment="1" applyProtection="1">
      <alignment horizontal="center" vertical="center" wrapText="1"/>
      <protection/>
    </xf>
    <xf numFmtId="0" fontId="67" fillId="33" borderId="12" xfId="0" applyFont="1" applyFill="1" applyBorder="1" applyAlignment="1" applyProtection="1">
      <alignment horizontal="center" vertical="center" wrapText="1"/>
      <protection/>
    </xf>
    <xf numFmtId="0" fontId="67" fillId="33" borderId="16" xfId="0" applyFont="1" applyFill="1" applyBorder="1" applyAlignment="1" applyProtection="1">
      <alignment horizontal="center" vertical="center" wrapText="1"/>
      <protection/>
    </xf>
    <xf numFmtId="0" fontId="36" fillId="33" borderId="15" xfId="0" applyFont="1" applyFill="1" applyBorder="1" applyAlignment="1" applyProtection="1">
      <alignment horizontal="center" vertical="center" wrapText="1"/>
      <protection/>
    </xf>
    <xf numFmtId="0" fontId="36" fillId="33" borderId="16" xfId="0" applyFont="1" applyFill="1" applyBorder="1" applyAlignment="1" applyProtection="1">
      <alignment horizontal="center" vertical="center" wrapText="1"/>
      <protection/>
    </xf>
    <xf numFmtId="0" fontId="36" fillId="33" borderId="13" xfId="0" applyFont="1" applyFill="1" applyBorder="1" applyAlignment="1" applyProtection="1">
      <alignment horizontal="center" vertical="center" wrapText="1"/>
      <protection/>
    </xf>
    <xf numFmtId="0" fontId="36" fillId="33" borderId="0" xfId="0" applyFont="1" applyFill="1" applyBorder="1" applyAlignment="1" applyProtection="1">
      <alignment horizontal="center" vertical="center" wrapText="1"/>
      <protection/>
    </xf>
    <xf numFmtId="0" fontId="36" fillId="33" borderId="12" xfId="0" applyFont="1" applyFill="1" applyBorder="1" applyAlignment="1" applyProtection="1">
      <alignment horizontal="center" vertical="center" wrapText="1"/>
      <protection/>
    </xf>
    <xf numFmtId="0" fontId="15" fillId="0" borderId="0" xfId="50" applyNumberFormat="1" applyFont="1" applyFill="1" applyAlignment="1" applyProtection="1">
      <alignment horizontal="left"/>
      <protection/>
    </xf>
    <xf numFmtId="0" fontId="36" fillId="0" borderId="0" xfId="50" applyNumberFormat="1" applyFont="1" applyFill="1" applyAlignment="1" applyProtection="1">
      <alignment horizontal="left"/>
      <protection/>
    </xf>
    <xf numFmtId="0" fontId="36" fillId="33" borderId="23" xfId="50" applyFont="1" applyFill="1" applyBorder="1" applyAlignment="1" applyProtection="1">
      <alignment horizontal="center"/>
      <protection/>
    </xf>
    <xf numFmtId="0" fontId="36" fillId="33" borderId="11" xfId="50" applyFont="1" applyFill="1" applyBorder="1" applyAlignment="1" applyProtection="1">
      <alignment horizontal="center"/>
      <protection/>
    </xf>
    <xf numFmtId="43" fontId="15" fillId="34" borderId="20" xfId="65" applyFont="1" applyFill="1" applyBorder="1" applyAlignment="1" applyProtection="1">
      <alignment horizontal="center"/>
      <protection locked="0"/>
    </xf>
    <xf numFmtId="43" fontId="15" fillId="34" borderId="16" xfId="65" applyFont="1" applyFill="1" applyBorder="1" applyAlignment="1" applyProtection="1">
      <alignment horizontal="center"/>
      <protection locked="0"/>
    </xf>
    <xf numFmtId="43" fontId="15" fillId="0" borderId="23" xfId="50" applyNumberFormat="1" applyFont="1" applyFill="1" applyBorder="1" applyAlignment="1" applyProtection="1">
      <alignment horizontal="center"/>
      <protection/>
    </xf>
    <xf numFmtId="0" fontId="15" fillId="0" borderId="10" xfId="50" applyFont="1" applyFill="1" applyBorder="1" applyAlignment="1" applyProtection="1">
      <alignment horizontal="center"/>
      <protection/>
    </xf>
    <xf numFmtId="0" fontId="80" fillId="0" borderId="11" xfId="50" applyFont="1" applyFill="1" applyBorder="1" applyAlignment="1" applyProtection="1">
      <alignment horizontal="center"/>
      <protection/>
    </xf>
    <xf numFmtId="0" fontId="15" fillId="35" borderId="0" xfId="50" applyFont="1" applyFill="1" applyBorder="1" applyAlignment="1" applyProtection="1">
      <alignment horizontal="left" wrapText="1"/>
      <protection/>
    </xf>
    <xf numFmtId="0" fontId="15" fillId="35" borderId="12" xfId="50" applyFont="1" applyFill="1" applyBorder="1" applyAlignment="1" applyProtection="1">
      <alignment horizontal="left" wrapText="1"/>
      <protection/>
    </xf>
    <xf numFmtId="0" fontId="15" fillId="35" borderId="14" xfId="50" applyFont="1" applyFill="1" applyBorder="1" applyAlignment="1" applyProtection="1">
      <alignment horizontal="left" wrapText="1"/>
      <protection/>
    </xf>
    <xf numFmtId="0" fontId="15" fillId="35" borderId="16" xfId="50" applyFont="1" applyFill="1" applyBorder="1" applyAlignment="1" applyProtection="1">
      <alignment horizontal="left" wrapText="1"/>
      <protection/>
    </xf>
    <xf numFmtId="0" fontId="36" fillId="33" borderId="21" xfId="50" applyFont="1" applyFill="1" applyBorder="1" applyAlignment="1" applyProtection="1">
      <alignment horizontal="center" vertical="top" wrapText="1"/>
      <protection/>
    </xf>
    <xf numFmtId="0" fontId="36" fillId="33" borderId="13" xfId="50" applyFont="1" applyFill="1" applyBorder="1" applyAlignment="1" applyProtection="1">
      <alignment horizontal="center" vertical="top" wrapText="1"/>
      <protection/>
    </xf>
    <xf numFmtId="0" fontId="36" fillId="33" borderId="20" xfId="50" applyFont="1" applyFill="1" applyBorder="1" applyAlignment="1" applyProtection="1">
      <alignment horizontal="center" vertical="top" wrapText="1"/>
      <protection/>
    </xf>
    <xf numFmtId="0" fontId="36" fillId="33" borderId="15" xfId="50" applyFont="1" applyFill="1" applyBorder="1" applyAlignment="1" applyProtection="1">
      <alignment horizontal="center" vertical="center" wrapText="1"/>
      <protection/>
    </xf>
    <xf numFmtId="0" fontId="36" fillId="33" borderId="12" xfId="50" applyFont="1" applyFill="1" applyBorder="1" applyAlignment="1" applyProtection="1">
      <alignment horizontal="center" vertical="center" wrapText="1"/>
      <protection/>
    </xf>
    <xf numFmtId="0" fontId="36" fillId="33" borderId="16" xfId="50" applyFont="1" applyFill="1" applyBorder="1" applyAlignment="1" applyProtection="1">
      <alignment horizontal="center" vertical="center" wrapText="1"/>
      <protection/>
    </xf>
    <xf numFmtId="0" fontId="67" fillId="33" borderId="24" xfId="50" applyFont="1" applyFill="1" applyBorder="1" applyAlignment="1" applyProtection="1">
      <alignment horizontal="center" vertical="center" wrapText="1"/>
      <protection/>
    </xf>
    <xf numFmtId="0" fontId="67" fillId="33" borderId="15" xfId="50" applyFont="1" applyFill="1" applyBorder="1" applyAlignment="1" applyProtection="1">
      <alignment horizontal="center" vertical="center" wrapText="1"/>
      <protection/>
    </xf>
    <xf numFmtId="0" fontId="67" fillId="33" borderId="0" xfId="50" applyFont="1" applyFill="1" applyBorder="1" applyAlignment="1" applyProtection="1">
      <alignment horizontal="center" vertical="center" wrapText="1"/>
      <protection/>
    </xf>
    <xf numFmtId="0" fontId="67" fillId="33" borderId="12" xfId="50" applyFont="1" applyFill="1" applyBorder="1" applyAlignment="1" applyProtection="1">
      <alignment horizontal="center" vertical="center" wrapText="1"/>
      <protection/>
    </xf>
    <xf numFmtId="0" fontId="67" fillId="33" borderId="14" xfId="50" applyFont="1" applyFill="1" applyBorder="1" applyAlignment="1" applyProtection="1">
      <alignment horizontal="center" vertical="center" wrapText="1"/>
      <protection/>
    </xf>
    <xf numFmtId="0" fontId="67" fillId="33" borderId="16" xfId="5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12" fillId="0" borderId="0" xfId="0" applyFont="1" applyFill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118" fillId="0" borderId="0" xfId="0" applyFont="1" applyFill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175" fontId="2" fillId="0" borderId="0" xfId="0" applyNumberFormat="1" applyFont="1" applyFill="1" applyBorder="1" applyAlignment="1" applyProtection="1">
      <alignment horizontal="right" vertical="top" wrapText="1"/>
      <protection/>
    </xf>
    <xf numFmtId="0" fontId="4" fillId="33" borderId="21" xfId="0" applyFont="1" applyFill="1" applyBorder="1" applyAlignment="1" applyProtection="1">
      <alignment horizontal="center" vertical="top"/>
      <protection/>
    </xf>
    <xf numFmtId="0" fontId="14" fillId="33" borderId="24" xfId="0" applyFont="1" applyFill="1" applyBorder="1" applyAlignment="1" applyProtection="1">
      <alignment horizontal="center" vertical="top"/>
      <protection/>
    </xf>
    <xf numFmtId="0" fontId="14" fillId="33" borderId="15" xfId="0" applyFont="1" applyFill="1" applyBorder="1" applyAlignment="1" applyProtection="1">
      <alignment horizontal="center" vertical="top"/>
      <protection/>
    </xf>
    <xf numFmtId="0" fontId="4" fillId="33" borderId="24" xfId="0" applyFont="1" applyFill="1" applyBorder="1" applyAlignment="1" applyProtection="1">
      <alignment horizontal="right" vertical="top" wrapText="1"/>
      <protection/>
    </xf>
    <xf numFmtId="0" fontId="4" fillId="33" borderId="20" xfId="0" applyFont="1" applyFill="1" applyBorder="1" applyAlignment="1" applyProtection="1">
      <alignment horizontal="center" vertical="top" wrapText="1"/>
      <protection/>
    </xf>
    <xf numFmtId="0" fontId="14" fillId="33" borderId="14" xfId="0" applyFont="1" applyFill="1" applyBorder="1" applyAlignment="1" applyProtection="1">
      <alignment horizontal="center" vertical="top"/>
      <protection/>
    </xf>
    <xf numFmtId="0" fontId="14" fillId="33" borderId="16" xfId="0" applyFont="1" applyFill="1" applyBorder="1" applyAlignment="1" applyProtection="1">
      <alignment horizontal="center" vertical="top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43" fontId="2" fillId="0" borderId="13" xfId="65" applyFont="1" applyFill="1" applyBorder="1" applyAlignment="1" applyProtection="1">
      <alignment horizontal="left" vertical="top"/>
      <protection/>
    </xf>
    <xf numFmtId="43" fontId="10" fillId="0" borderId="0" xfId="65" applyFont="1" applyFill="1" applyBorder="1" applyAlignment="1" applyProtection="1">
      <alignment horizontal="left" vertical="top"/>
      <protection/>
    </xf>
    <xf numFmtId="43" fontId="10" fillId="0" borderId="12" xfId="65" applyFont="1" applyFill="1" applyBorder="1" applyAlignment="1" applyProtection="1">
      <alignment horizontal="left" vertical="top"/>
      <protection/>
    </xf>
    <xf numFmtId="43" fontId="2" fillId="0" borderId="21" xfId="65" applyFont="1" applyFill="1" applyBorder="1" applyAlignment="1" applyProtection="1">
      <alignment horizontal="center" vertical="top"/>
      <protection/>
    </xf>
    <xf numFmtId="43" fontId="2" fillId="0" borderId="24" xfId="65" applyFont="1" applyFill="1" applyBorder="1" applyAlignment="1" applyProtection="1">
      <alignment horizontal="center" vertical="top"/>
      <protection/>
    </xf>
    <xf numFmtId="43" fontId="2" fillId="0" borderId="15" xfId="65" applyFont="1" applyFill="1" applyBorder="1" applyAlignment="1" applyProtection="1">
      <alignment horizontal="center" vertical="top"/>
      <protection/>
    </xf>
    <xf numFmtId="43" fontId="2" fillId="0" borderId="13" xfId="65" applyFont="1" applyFill="1" applyBorder="1" applyAlignment="1" applyProtection="1">
      <alignment horizontal="center" vertical="top"/>
      <protection/>
    </xf>
    <xf numFmtId="43" fontId="2" fillId="0" borderId="0" xfId="65" applyFont="1" applyFill="1" applyBorder="1" applyAlignment="1" applyProtection="1">
      <alignment horizontal="center" vertical="top"/>
      <protection/>
    </xf>
    <xf numFmtId="43" fontId="2" fillId="0" borderId="12" xfId="65" applyFont="1" applyFill="1" applyBorder="1" applyAlignment="1" applyProtection="1">
      <alignment horizontal="center" vertical="top"/>
      <protection/>
    </xf>
    <xf numFmtId="43" fontId="2" fillId="34" borderId="13" xfId="65" applyNumberFormat="1" applyFont="1" applyFill="1" applyBorder="1" applyAlignment="1" applyProtection="1">
      <alignment horizontal="left" vertical="top"/>
      <protection locked="0"/>
    </xf>
    <xf numFmtId="43" fontId="10" fillId="34" borderId="0" xfId="65" applyNumberFormat="1" applyFont="1" applyFill="1" applyAlignment="1" applyProtection="1">
      <alignment horizontal="left" vertical="top"/>
      <protection locked="0"/>
    </xf>
    <xf numFmtId="43" fontId="10" fillId="34" borderId="12" xfId="65" applyNumberFormat="1" applyFont="1" applyFill="1" applyBorder="1" applyAlignment="1" applyProtection="1">
      <alignment horizontal="left" vertical="top"/>
      <protection locked="0"/>
    </xf>
    <xf numFmtId="43" fontId="2" fillId="34" borderId="20" xfId="65" applyNumberFormat="1" applyFont="1" applyFill="1" applyBorder="1" applyAlignment="1" applyProtection="1">
      <alignment horizontal="center" vertical="top"/>
      <protection locked="0"/>
    </xf>
    <xf numFmtId="43" fontId="2" fillId="34" borderId="14" xfId="65" applyNumberFormat="1" applyFont="1" applyFill="1" applyBorder="1" applyAlignment="1" applyProtection="1">
      <alignment horizontal="center" vertical="top"/>
      <protection locked="0"/>
    </xf>
    <xf numFmtId="43" fontId="2" fillId="34" borderId="16" xfId="65" applyNumberFormat="1" applyFont="1" applyFill="1" applyBorder="1" applyAlignment="1" applyProtection="1">
      <alignment horizontal="center" vertical="top"/>
      <protection locked="0"/>
    </xf>
    <xf numFmtId="43" fontId="2" fillId="34" borderId="13" xfId="65" applyNumberFormat="1" applyFont="1" applyFill="1" applyBorder="1" applyAlignment="1" applyProtection="1">
      <alignment horizontal="center" vertical="top"/>
      <protection locked="0"/>
    </xf>
    <xf numFmtId="43" fontId="2" fillId="34" borderId="0" xfId="65" applyNumberFormat="1" applyFont="1" applyFill="1" applyBorder="1" applyAlignment="1" applyProtection="1">
      <alignment horizontal="center" vertical="top"/>
      <protection locked="0"/>
    </xf>
    <xf numFmtId="43" fontId="2" fillId="34" borderId="12" xfId="65" applyNumberFormat="1" applyFont="1" applyFill="1" applyBorder="1" applyAlignment="1" applyProtection="1">
      <alignment horizontal="center" vertical="top"/>
      <protection locked="0"/>
    </xf>
    <xf numFmtId="43" fontId="2" fillId="0" borderId="21" xfId="65" applyFont="1" applyFill="1" applyBorder="1" applyAlignment="1" applyProtection="1">
      <alignment horizontal="left" vertical="top"/>
      <protection/>
    </xf>
    <xf numFmtId="43" fontId="10" fillId="0" borderId="24" xfId="65" applyFont="1" applyFill="1" applyBorder="1" applyAlignment="1" applyProtection="1">
      <alignment horizontal="left" vertical="top"/>
      <protection/>
    </xf>
    <xf numFmtId="43" fontId="10" fillId="0" borderId="15" xfId="65" applyFont="1" applyFill="1" applyBorder="1" applyAlignment="1" applyProtection="1">
      <alignment horizontal="left" vertical="top"/>
      <protection/>
    </xf>
    <xf numFmtId="43" fontId="2" fillId="34" borderId="20" xfId="65" applyNumberFormat="1" applyFont="1" applyFill="1" applyBorder="1" applyAlignment="1" applyProtection="1">
      <alignment horizontal="left" vertical="top"/>
      <protection locked="0"/>
    </xf>
    <xf numFmtId="43" fontId="10" fillId="34" borderId="14" xfId="65" applyNumberFormat="1" applyFont="1" applyFill="1" applyBorder="1" applyAlignment="1" applyProtection="1">
      <alignment horizontal="left" vertical="top"/>
      <protection locked="0"/>
    </xf>
    <xf numFmtId="43" fontId="10" fillId="34" borderId="16" xfId="65" applyNumberFormat="1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2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119" fillId="44" borderId="0" xfId="0" applyFont="1" applyFill="1" applyBorder="1" applyAlignment="1" applyProtection="1">
      <alignment horizontal="center" vertical="center"/>
      <protection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43" fontId="2" fillId="0" borderId="0" xfId="65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43" fontId="2" fillId="34" borderId="24" xfId="65" applyFont="1" applyFill="1" applyBorder="1" applyAlignment="1" applyProtection="1">
      <alignment horizontal="center"/>
      <protection locked="0"/>
    </xf>
    <xf numFmtId="43" fontId="2" fillId="34" borderId="23" xfId="65" applyFont="1" applyFill="1" applyBorder="1" applyAlignment="1" applyProtection="1">
      <alignment horizontal="center"/>
      <protection locked="0"/>
    </xf>
    <xf numFmtId="43" fontId="2" fillId="34" borderId="11" xfId="65" applyFont="1" applyFill="1" applyBorder="1" applyAlignment="1" applyProtection="1">
      <alignment horizontal="center"/>
      <protection locked="0"/>
    </xf>
    <xf numFmtId="43" fontId="2" fillId="34" borderId="10" xfId="65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10" fontId="2" fillId="0" borderId="21" xfId="53" applyNumberFormat="1" applyFont="1" applyFill="1" applyBorder="1" applyAlignment="1" applyProtection="1">
      <alignment horizontal="center"/>
      <protection/>
    </xf>
    <xf numFmtId="10" fontId="2" fillId="0" borderId="15" xfId="53" applyNumberFormat="1" applyFont="1" applyFill="1" applyBorder="1" applyAlignment="1" applyProtection="1">
      <alignment horizontal="center"/>
      <protection/>
    </xf>
    <xf numFmtId="10" fontId="2" fillId="0" borderId="20" xfId="53" applyNumberFormat="1" applyFont="1" applyFill="1" applyBorder="1" applyAlignment="1" applyProtection="1">
      <alignment horizontal="center"/>
      <protection/>
    </xf>
    <xf numFmtId="10" fontId="2" fillId="0" borderId="16" xfId="53" applyNumberFormat="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10" fontId="2" fillId="34" borderId="21" xfId="53" applyNumberFormat="1" applyFont="1" applyFill="1" applyBorder="1" applyAlignment="1" applyProtection="1">
      <alignment horizontal="center"/>
      <protection locked="0"/>
    </xf>
    <xf numFmtId="10" fontId="2" fillId="34" borderId="15" xfId="53" applyNumberFormat="1" applyFont="1" applyFill="1" applyBorder="1" applyAlignment="1" applyProtection="1">
      <alignment horizontal="center"/>
      <protection locked="0"/>
    </xf>
    <xf numFmtId="10" fontId="2" fillId="34" borderId="13" xfId="53" applyNumberFormat="1" applyFont="1" applyFill="1" applyBorder="1" applyAlignment="1" applyProtection="1">
      <alignment horizontal="center"/>
      <protection locked="0"/>
    </xf>
    <xf numFmtId="10" fontId="2" fillId="34" borderId="12" xfId="53" applyNumberFormat="1" applyFont="1" applyFill="1" applyBorder="1" applyAlignment="1" applyProtection="1">
      <alignment horizontal="center"/>
      <protection locked="0"/>
    </xf>
    <xf numFmtId="10" fontId="2" fillId="34" borderId="20" xfId="53" applyNumberFormat="1" applyFont="1" applyFill="1" applyBorder="1" applyAlignment="1" applyProtection="1">
      <alignment horizontal="center"/>
      <protection locked="0"/>
    </xf>
    <xf numFmtId="10" fontId="2" fillId="34" borderId="16" xfId="53" applyNumberFormat="1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10" fontId="2" fillId="34" borderId="23" xfId="53" applyNumberFormat="1" applyFont="1" applyFill="1" applyBorder="1" applyAlignment="1" applyProtection="1">
      <alignment horizontal="center"/>
      <protection locked="0"/>
    </xf>
    <xf numFmtId="10" fontId="2" fillId="34" borderId="10" xfId="53" applyNumberFormat="1" applyFont="1" applyFill="1" applyBorder="1" applyAlignment="1" applyProtection="1">
      <alignment horizontal="center"/>
      <protection locked="0"/>
    </xf>
    <xf numFmtId="10" fontId="2" fillId="34" borderId="11" xfId="53" applyNumberFormat="1" applyFont="1" applyFill="1" applyBorder="1" applyAlignment="1" applyProtection="1">
      <alignment horizontal="center"/>
      <protection locked="0"/>
    </xf>
    <xf numFmtId="0" fontId="9" fillId="0" borderId="24" xfId="0" applyNumberFormat="1" applyFont="1" applyBorder="1" applyAlignment="1" applyProtection="1">
      <alignment horizontal="left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dxfs count="29"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showGridLines="0" tabSelected="1" zoomScalePageLayoutView="0" workbookViewId="0" topLeftCell="A1">
      <selection activeCell="A3" sqref="A3:B3"/>
    </sheetView>
  </sheetViews>
  <sheetFormatPr defaultColWidth="9.140625" defaultRowHeight="12.75"/>
  <cols>
    <col min="1" max="1" width="73.00390625" style="755" customWidth="1"/>
    <col min="2" max="2" width="67.57421875" style="755" customWidth="1"/>
    <col min="3" max="16384" width="9.140625" style="755" customWidth="1"/>
  </cols>
  <sheetData>
    <row r="1" spans="1:2" ht="18.75">
      <c r="A1" s="779" t="s">
        <v>1039</v>
      </c>
      <c r="B1" s="779"/>
    </row>
    <row r="2" spans="1:2" ht="18.75">
      <c r="A2" s="779" t="s">
        <v>0</v>
      </c>
      <c r="B2" s="779"/>
    </row>
    <row r="3" spans="1:256" ht="22.5" customHeight="1">
      <c r="A3" s="779" t="s">
        <v>1040</v>
      </c>
      <c r="B3" s="779"/>
      <c r="D3" s="778">
        <f>IF(IT11=1,"","O preenchimento do período (Bimestre) diferente do indicado pode comprometer a obtenção de alguns índices!!!! Selecione o período clicando na setinha à direita da linha que indica o período!!!!")</f>
      </c>
      <c r="E3" s="778"/>
      <c r="F3" s="778"/>
      <c r="G3" s="778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:256" s="40" customFormat="1" ht="22.5" customHeight="1">
      <c r="A4" s="780" t="s">
        <v>1</v>
      </c>
      <c r="B4" s="780"/>
      <c r="C4" s="756"/>
      <c r="D4" s="778"/>
      <c r="E4" s="778"/>
      <c r="F4" s="778"/>
      <c r="G4" s="778"/>
      <c r="H4" s="756"/>
      <c r="I4" s="756"/>
      <c r="II4" s="777" t="s">
        <v>2</v>
      </c>
      <c r="IJ4" s="777"/>
      <c r="IK4" s="777"/>
      <c r="IL4" s="777"/>
      <c r="IM4" s="777"/>
      <c r="IN4" s="777"/>
      <c r="IO4" s="39">
        <f>IF($A$5=IP4,1,0)</f>
        <v>0</v>
      </c>
      <c r="IP4" s="781" t="s">
        <v>3</v>
      </c>
      <c r="IQ4" s="781"/>
      <c r="IR4" s="781"/>
      <c r="IS4" s="781"/>
      <c r="IT4" s="781"/>
      <c r="IU4" s="781"/>
      <c r="IV4" s="781"/>
    </row>
    <row r="5" spans="1:256" ht="18.75">
      <c r="A5" s="779" t="s">
        <v>4</v>
      </c>
      <c r="B5" s="779"/>
      <c r="D5" s="778"/>
      <c r="E5" s="778"/>
      <c r="F5" s="778"/>
      <c r="G5" s="778"/>
      <c r="II5" s="777"/>
      <c r="IJ5" s="777"/>
      <c r="IK5" s="777"/>
      <c r="IL5" s="777"/>
      <c r="IM5" s="777"/>
      <c r="IN5" s="777"/>
      <c r="IO5" s="39"/>
      <c r="IP5" s="39"/>
      <c r="IQ5" s="39"/>
      <c r="IR5" s="39"/>
      <c r="IS5" s="39"/>
      <c r="IT5" s="39">
        <f aca="true" t="shared" si="0" ref="IT5:IT10">IF($A$5=IV5,1,0)</f>
        <v>1</v>
      </c>
      <c r="IU5" s="39"/>
      <c r="IV5" s="766" t="s">
        <v>4</v>
      </c>
    </row>
    <row r="6" spans="1:256" ht="22.5">
      <c r="A6" s="775" t="s">
        <v>5</v>
      </c>
      <c r="B6" s="775"/>
      <c r="D6" s="778"/>
      <c r="E6" s="778"/>
      <c r="F6" s="778"/>
      <c r="G6" s="778"/>
      <c r="II6" s="777"/>
      <c r="IJ6" s="777"/>
      <c r="IK6" s="777"/>
      <c r="IL6" s="777"/>
      <c r="IM6" s="777"/>
      <c r="IN6" s="777"/>
      <c r="IO6" s="39"/>
      <c r="IP6" s="39"/>
      <c r="IQ6" s="39"/>
      <c r="IR6" s="39"/>
      <c r="IS6" s="39"/>
      <c r="IT6" s="39">
        <f t="shared" si="0"/>
        <v>0</v>
      </c>
      <c r="IU6" s="39"/>
      <c r="IV6" s="766" t="s">
        <v>6</v>
      </c>
    </row>
    <row r="7" spans="1:256" ht="23.25">
      <c r="A7" s="776">
        <f>IF(B19="","Por favor, informe o endereço eletrônico do Portal da Transparência.","")</f>
      </c>
      <c r="B7" s="776"/>
      <c r="D7" s="778"/>
      <c r="E7" s="778"/>
      <c r="F7" s="778"/>
      <c r="G7" s="778"/>
      <c r="II7" s="777"/>
      <c r="IJ7" s="777"/>
      <c r="IK7" s="777"/>
      <c r="IL7" s="777"/>
      <c r="IM7" s="777"/>
      <c r="IN7" s="777"/>
      <c r="IO7" s="39"/>
      <c r="IP7" s="39"/>
      <c r="IQ7" s="39"/>
      <c r="IR7" s="39"/>
      <c r="IS7" s="39"/>
      <c r="IT7" s="39">
        <f t="shared" si="0"/>
        <v>0</v>
      </c>
      <c r="IU7" s="39"/>
      <c r="IV7" s="766" t="s">
        <v>7</v>
      </c>
    </row>
    <row r="8" spans="1:256" ht="18">
      <c r="A8" s="757" t="s">
        <v>8</v>
      </c>
      <c r="B8" s="758"/>
      <c r="II8" s="777"/>
      <c r="IJ8" s="777"/>
      <c r="IK8" s="777"/>
      <c r="IL8" s="777"/>
      <c r="IM8" s="777"/>
      <c r="IN8" s="777"/>
      <c r="IO8" s="39"/>
      <c r="IP8" s="39"/>
      <c r="IQ8" s="39"/>
      <c r="IR8" s="39"/>
      <c r="IS8" s="39"/>
      <c r="IT8" s="39">
        <f t="shared" si="0"/>
        <v>0</v>
      </c>
      <c r="IU8" s="39"/>
      <c r="IV8" s="766" t="s">
        <v>9</v>
      </c>
    </row>
    <row r="9" spans="1:256" ht="12.75">
      <c r="A9" s="759" t="s">
        <v>10</v>
      </c>
      <c r="B9" s="769" t="s">
        <v>1030</v>
      </c>
      <c r="C9" s="760">
        <f>IF(B9="",1,0)</f>
        <v>0</v>
      </c>
      <c r="II9" s="777"/>
      <c r="IJ9" s="777"/>
      <c r="IK9" s="777"/>
      <c r="IL9" s="777"/>
      <c r="IM9" s="777"/>
      <c r="IN9" s="777"/>
      <c r="IO9" s="39"/>
      <c r="IP9" s="39"/>
      <c r="IQ9" s="39"/>
      <c r="IR9" s="39"/>
      <c r="IS9" s="39"/>
      <c r="IT9" s="39">
        <f t="shared" si="0"/>
        <v>0</v>
      </c>
      <c r="IU9" s="39"/>
      <c r="IV9" s="766" t="s">
        <v>11</v>
      </c>
    </row>
    <row r="10" spans="1:256" ht="12.75">
      <c r="A10" s="761" t="s">
        <v>12</v>
      </c>
      <c r="B10" s="769" t="s">
        <v>1031</v>
      </c>
      <c r="C10" s="760">
        <f aca="true" t="shared" si="1" ref="C10:C22">IF(B10="",1,0)</f>
        <v>0</v>
      </c>
      <c r="II10" s="777"/>
      <c r="IJ10" s="777"/>
      <c r="IK10" s="777"/>
      <c r="IL10" s="777"/>
      <c r="IM10" s="777"/>
      <c r="IN10" s="777"/>
      <c r="IO10" s="39"/>
      <c r="IP10" s="39"/>
      <c r="IQ10" s="39"/>
      <c r="IR10" s="39"/>
      <c r="IS10" s="39"/>
      <c r="IT10" s="39">
        <f t="shared" si="0"/>
        <v>0</v>
      </c>
      <c r="IU10" s="39"/>
      <c r="IV10" s="766" t="s">
        <v>13</v>
      </c>
    </row>
    <row r="11" spans="1:256" ht="12.75">
      <c r="A11" s="759" t="s">
        <v>14</v>
      </c>
      <c r="B11" s="769" t="s">
        <v>1032</v>
      </c>
      <c r="C11" s="760">
        <f t="shared" si="1"/>
        <v>0</v>
      </c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>
        <f>SUM(IT5:IT10)+IO4</f>
        <v>1</v>
      </c>
      <c r="IU11" s="39"/>
      <c r="IV11" s="39"/>
    </row>
    <row r="12" spans="1:3" ht="12.75">
      <c r="A12" s="761" t="s">
        <v>15</v>
      </c>
      <c r="B12" s="769" t="s">
        <v>1033</v>
      </c>
      <c r="C12" s="760">
        <f t="shared" si="1"/>
        <v>0</v>
      </c>
    </row>
    <row r="13" spans="1:3" ht="12.75">
      <c r="A13" s="759" t="s">
        <v>16</v>
      </c>
      <c r="B13" s="769" t="s">
        <v>1034</v>
      </c>
      <c r="C13" s="760">
        <f t="shared" si="1"/>
        <v>0</v>
      </c>
    </row>
    <row r="14" spans="1:3" ht="18">
      <c r="A14" s="757" t="s">
        <v>17</v>
      </c>
      <c r="B14" s="758"/>
      <c r="C14" s="760"/>
    </row>
    <row r="15" spans="1:3" ht="12.75">
      <c r="A15" s="759" t="s">
        <v>18</v>
      </c>
      <c r="B15" s="770" t="s">
        <v>1035</v>
      </c>
      <c r="C15" s="760">
        <f t="shared" si="1"/>
        <v>0</v>
      </c>
    </row>
    <row r="16" spans="1:3" ht="15">
      <c r="A16" s="762" t="s">
        <v>19</v>
      </c>
      <c r="B16" s="771">
        <v>42821</v>
      </c>
      <c r="C16" s="760">
        <f t="shared" si="1"/>
        <v>0</v>
      </c>
    </row>
    <row r="17" spans="1:3" ht="12.75">
      <c r="A17" s="759" t="s">
        <v>20</v>
      </c>
      <c r="B17" s="772">
        <v>42824</v>
      </c>
      <c r="C17" s="760">
        <f t="shared" si="1"/>
        <v>0</v>
      </c>
    </row>
    <row r="18" spans="1:3" ht="18">
      <c r="A18" s="757" t="s">
        <v>21</v>
      </c>
      <c r="B18" s="758"/>
      <c r="C18" s="760"/>
    </row>
    <row r="19" spans="1:3" ht="15.75">
      <c r="A19" s="763" t="s">
        <v>22</v>
      </c>
      <c r="B19" s="770" t="s">
        <v>1036</v>
      </c>
      <c r="C19" s="760">
        <f t="shared" si="1"/>
        <v>0</v>
      </c>
    </row>
    <row r="20" spans="1:3" ht="12.75">
      <c r="A20" s="761" t="s">
        <v>23</v>
      </c>
      <c r="B20" s="773" t="s">
        <v>1037</v>
      </c>
      <c r="C20" s="760">
        <f t="shared" si="1"/>
        <v>0</v>
      </c>
    </row>
    <row r="21" spans="1:3" ht="12.75">
      <c r="A21" s="764" t="s">
        <v>24</v>
      </c>
      <c r="B21" s="773" t="s">
        <v>1038</v>
      </c>
      <c r="C21" s="760">
        <f t="shared" si="1"/>
        <v>0</v>
      </c>
    </row>
    <row r="22" spans="1:3" ht="12.75">
      <c r="A22" s="765" t="s">
        <v>25</v>
      </c>
      <c r="B22" s="774" t="s">
        <v>1036</v>
      </c>
      <c r="C22" s="760">
        <f t="shared" si="1"/>
        <v>0</v>
      </c>
    </row>
    <row r="23" ht="12.75">
      <c r="C23" s="760">
        <f>MAX(C9:C22)</f>
        <v>0</v>
      </c>
    </row>
    <row r="1000" ht="12.75">
      <c r="A1000" s="767" t="s">
        <v>26</v>
      </c>
    </row>
    <row r="1001" ht="12.75">
      <c r="A1001" s="767"/>
    </row>
    <row r="1002" ht="12.75">
      <c r="A1002" s="767"/>
    </row>
    <row r="1003" ht="12.75">
      <c r="A1003" s="767"/>
    </row>
    <row r="1004" ht="12.75">
      <c r="A1004" s="767"/>
    </row>
    <row r="1005" ht="12.75">
      <c r="A1005" s="767"/>
    </row>
    <row r="1006" ht="12.75">
      <c r="A1006" s="767"/>
    </row>
    <row r="1007" ht="12.75">
      <c r="A1007" s="767"/>
    </row>
    <row r="1008" ht="12.75">
      <c r="A1008" s="767"/>
    </row>
    <row r="1009" ht="12.75">
      <c r="A1009" s="767"/>
    </row>
    <row r="1010" ht="12.75">
      <c r="A1010" s="767" t="s">
        <v>27</v>
      </c>
    </row>
  </sheetData>
  <sheetProtection password="C236" sheet="1" objects="1" formatColumns="0" selectLockedCells="1"/>
  <mergeCells count="10">
    <mergeCell ref="IP4:IV4"/>
    <mergeCell ref="A5:B5"/>
    <mergeCell ref="A6:B6"/>
    <mergeCell ref="A7:B7"/>
    <mergeCell ref="II4:IN10"/>
    <mergeCell ref="D3:G7"/>
    <mergeCell ref="A1:B1"/>
    <mergeCell ref="A2:B2"/>
    <mergeCell ref="A3:B3"/>
    <mergeCell ref="A4:B4"/>
  </mergeCells>
  <conditionalFormatting sqref="A7:B7">
    <cfRule type="expression" priority="2" dxfId="5" stopIfTrue="1">
      <formula>$B$19=""</formula>
    </cfRule>
  </conditionalFormatting>
  <conditionalFormatting sqref="D7:F7">
    <cfRule type="expression" priority="3" dxfId="0" stopIfTrue="1">
      <formula>IT15&lt;&gt;1</formula>
    </cfRule>
  </conditionalFormatting>
  <conditionalFormatting sqref="G3:G7">
    <cfRule type="expression" priority="1" dxfId="0" stopIfTrue="1">
      <formula>A11&lt;&gt;1</formula>
    </cfRule>
  </conditionalFormatting>
  <conditionalFormatting sqref="D3:F4">
    <cfRule type="expression" priority="5" dxfId="0" stopIfTrue="1">
      <formula>IT11&lt;&gt;1</formula>
    </cfRule>
  </conditionalFormatting>
  <conditionalFormatting sqref="D5:F6">
    <cfRule type="expression" priority="4" dxfId="0" stopIfTrue="1">
      <formula>IT13&lt;&gt;1</formula>
    </cfRule>
  </conditionalFormatting>
  <dataValidations count="2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51" right="0.51" top="0.79" bottom="0.79" header="0.31" footer="0.31"/>
  <pageSetup fitToHeight="1" fitToWidth="1" horizontalDpi="600" verticalDpi="600" orientation="landscape" paperSize="9" scale="9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83" zoomScaleNormal="83" zoomScalePageLayoutView="0" workbookViewId="0" topLeftCell="A5">
      <selection activeCell="A11" sqref="A11"/>
    </sheetView>
  </sheetViews>
  <sheetFormatPr defaultColWidth="9.140625" defaultRowHeight="12.75"/>
  <cols>
    <col min="1" max="1" width="78.57421875" style="347" customWidth="1"/>
    <col min="2" max="2" width="25.7109375" style="347" customWidth="1"/>
    <col min="3" max="6" width="12.7109375" style="347" customWidth="1"/>
    <col min="7" max="7" width="20.421875" style="347" customWidth="1"/>
    <col min="8" max="8" width="21.140625" style="347" customWidth="1"/>
    <col min="9" max="9" width="9.140625" style="347" customWidth="1"/>
    <col min="10" max="10" width="12.8515625" style="347" customWidth="1"/>
    <col min="11" max="11" width="21.140625" style="347" customWidth="1"/>
    <col min="12" max="12" width="14.00390625" style="347" customWidth="1"/>
    <col min="13" max="16384" width="9.140625" style="347" customWidth="1"/>
  </cols>
  <sheetData>
    <row r="1" spans="1:6" ht="15.75" customHeight="1">
      <c r="A1" s="1202" t="s">
        <v>700</v>
      </c>
      <c r="B1" s="1202"/>
      <c r="C1" s="1202"/>
      <c r="D1" s="1202"/>
      <c r="E1" s="1202"/>
      <c r="F1" s="1202"/>
    </row>
    <row r="2" spans="1:13" ht="12.75">
      <c r="A2" s="1203" t="str">
        <f>'Informações Iniciais'!A1</f>
        <v>ESTADO DO MARANHÃO - PREFEITURA MUNICIPAL DE DAVINOPOLIS</v>
      </c>
      <c r="B2" s="1203"/>
      <c r="C2" s="1203"/>
      <c r="D2" s="1203"/>
      <c r="E2" s="1203"/>
      <c r="F2" s="348"/>
      <c r="G2" s="348"/>
      <c r="H2" s="348"/>
      <c r="I2" s="348"/>
      <c r="J2" s="348"/>
      <c r="K2" s="348"/>
      <c r="L2" s="348"/>
      <c r="M2" s="348"/>
    </row>
    <row r="3" spans="1:13" ht="12.75">
      <c r="A3" s="1204" t="s">
        <v>1</v>
      </c>
      <c r="B3" s="1204"/>
      <c r="C3" s="1204"/>
      <c r="D3" s="1204"/>
      <c r="E3" s="1204"/>
      <c r="F3" s="348"/>
      <c r="G3" s="348"/>
      <c r="H3" s="348"/>
      <c r="I3" s="348"/>
      <c r="J3" s="348"/>
      <c r="K3" s="348"/>
      <c r="L3" s="348"/>
      <c r="M3" s="348"/>
    </row>
    <row r="4" spans="1:13" ht="12.75">
      <c r="A4" s="1205" t="s">
        <v>546</v>
      </c>
      <c r="B4" s="1205"/>
      <c r="C4" s="1205"/>
      <c r="D4" s="1205"/>
      <c r="E4" s="1205"/>
      <c r="F4" s="349"/>
      <c r="G4" s="349"/>
      <c r="H4" s="349"/>
      <c r="I4" s="349"/>
      <c r="J4" s="349"/>
      <c r="K4" s="349"/>
      <c r="L4" s="349"/>
      <c r="M4" s="349"/>
    </row>
    <row r="5" spans="1:13" ht="12.75">
      <c r="A5" s="1206" t="s">
        <v>30</v>
      </c>
      <c r="B5" s="1206"/>
      <c r="C5" s="1206"/>
      <c r="D5" s="1206"/>
      <c r="E5" s="1206"/>
      <c r="F5" s="325"/>
      <c r="G5" s="325"/>
      <c r="H5" s="325"/>
      <c r="I5" s="325"/>
      <c r="J5" s="325"/>
      <c r="K5" s="325"/>
      <c r="L5" s="325"/>
      <c r="M5" s="325"/>
    </row>
    <row r="6" spans="1:13" ht="12.75">
      <c r="A6" s="1203" t="str">
        <f>'Informações Iniciais'!A5</f>
        <v>1º Bimestre de 2017</v>
      </c>
      <c r="B6" s="1203"/>
      <c r="C6" s="1203"/>
      <c r="D6" s="1203"/>
      <c r="E6" s="1203"/>
      <c r="F6" s="348"/>
      <c r="G6" s="348"/>
      <c r="H6" s="348"/>
      <c r="I6" s="348"/>
      <c r="J6" s="348"/>
      <c r="K6" s="348"/>
      <c r="L6" s="348"/>
      <c r="M6" s="348"/>
    </row>
    <row r="7" spans="1:16" ht="14.25">
      <c r="A7" s="1209">
        <f>IF(C27&lt;&gt;(E27+G27),"ERRO!!!! O total das DESPESAS EMPENHADAS deve ser igual ao somatório dos totais das DESPESAS LIQUIDADAS e INSCRITAS EM RESTOS A PAGAR NÃO PROCESSADOS.","")</f>
      </c>
      <c r="B7" s="1209"/>
      <c r="C7" s="1209"/>
      <c r="D7" s="1209"/>
      <c r="E7" s="1209"/>
      <c r="F7" s="1209"/>
      <c r="G7" s="1209"/>
      <c r="H7" s="348"/>
      <c r="I7" s="348"/>
      <c r="J7" s="381"/>
      <c r="K7" s="381"/>
      <c r="L7" s="381"/>
      <c r="M7" s="381"/>
      <c r="N7" s="355"/>
      <c r="O7" s="355"/>
      <c r="P7" s="355"/>
    </row>
    <row r="8" spans="1:16" ht="12.75">
      <c r="A8" s="350" t="s">
        <v>701</v>
      </c>
      <c r="B8" s="350"/>
      <c r="C8" s="350"/>
      <c r="D8" s="350"/>
      <c r="E8" s="350"/>
      <c r="F8" s="350"/>
      <c r="G8" s="351" t="s">
        <v>32</v>
      </c>
      <c r="H8" s="352"/>
      <c r="J8" s="1210"/>
      <c r="K8" s="1210"/>
      <c r="L8" s="1210"/>
      <c r="M8" s="1210"/>
      <c r="N8" s="355"/>
      <c r="O8" s="355"/>
      <c r="P8" s="355"/>
    </row>
    <row r="9" spans="1:16" ht="12.75">
      <c r="A9" s="1211" t="s">
        <v>702</v>
      </c>
      <c r="B9" s="1211"/>
      <c r="C9" s="1211"/>
      <c r="D9" s="1211"/>
      <c r="E9" s="1211"/>
      <c r="F9" s="1211"/>
      <c r="G9" s="1211"/>
      <c r="H9" s="353"/>
      <c r="J9" s="1212"/>
      <c r="K9" s="1212"/>
      <c r="L9" s="1212"/>
      <c r="M9" s="1212"/>
      <c r="N9" s="355"/>
      <c r="O9" s="355"/>
      <c r="P9" s="355"/>
    </row>
    <row r="10" spans="1:16" ht="30" customHeight="1">
      <c r="A10" s="354" t="s">
        <v>703</v>
      </c>
      <c r="B10" s="1126" t="s">
        <v>704</v>
      </c>
      <c r="C10" s="1092" t="s">
        <v>121</v>
      </c>
      <c r="D10" s="1093"/>
      <c r="E10" s="1092" t="s">
        <v>122</v>
      </c>
      <c r="F10" s="1093"/>
      <c r="G10" s="1221" t="s">
        <v>705</v>
      </c>
      <c r="H10" s="355"/>
      <c r="J10" s="1213"/>
      <c r="K10" s="1213"/>
      <c r="L10" s="383"/>
      <c r="M10" s="382"/>
      <c r="N10" s="355"/>
      <c r="O10" s="355"/>
      <c r="P10" s="355"/>
    </row>
    <row r="11" spans="1:16" ht="15" customHeight="1">
      <c r="A11" s="356" t="s">
        <v>706</v>
      </c>
      <c r="B11" s="1127"/>
      <c r="C11" s="357" t="s">
        <v>40</v>
      </c>
      <c r="D11" s="358" t="s">
        <v>39</v>
      </c>
      <c r="E11" s="357" t="s">
        <v>40</v>
      </c>
      <c r="F11" s="358" t="s">
        <v>39</v>
      </c>
      <c r="G11" s="1222"/>
      <c r="H11" s="355"/>
      <c r="J11" s="382"/>
      <c r="K11" s="382"/>
      <c r="L11" s="382"/>
      <c r="M11" s="384"/>
      <c r="N11" s="355"/>
      <c r="O11" s="355"/>
      <c r="P11" s="355"/>
    </row>
    <row r="12" spans="1:16" ht="15" customHeight="1">
      <c r="A12" s="359"/>
      <c r="B12" s="360" t="s">
        <v>126</v>
      </c>
      <c r="C12" s="361" t="s">
        <v>127</v>
      </c>
      <c r="D12" s="362" t="s">
        <v>612</v>
      </c>
      <c r="E12" s="361" t="s">
        <v>613</v>
      </c>
      <c r="F12" s="362" t="s">
        <v>614</v>
      </c>
      <c r="G12" s="363" t="s">
        <v>615</v>
      </c>
      <c r="H12" s="355"/>
      <c r="J12" s="382"/>
      <c r="K12" s="382"/>
      <c r="L12" s="382"/>
      <c r="M12" s="382"/>
      <c r="N12" s="355"/>
      <c r="O12" s="355"/>
      <c r="P12" s="355"/>
    </row>
    <row r="13" spans="1:16" ht="12.75">
      <c r="A13" s="364" t="s">
        <v>707</v>
      </c>
      <c r="B13" s="365">
        <f aca="true" t="shared" si="0" ref="B13:G13">B14+B17</f>
        <v>0</v>
      </c>
      <c r="C13" s="365">
        <f t="shared" si="0"/>
        <v>0</v>
      </c>
      <c r="D13" s="185">
        <f>IF($B13="",0,IF($B13=0,0,C13/$B13))</f>
        <v>0</v>
      </c>
      <c r="E13" s="365">
        <f t="shared" si="0"/>
        <v>0</v>
      </c>
      <c r="F13" s="185">
        <f>IF($B13="",0,IF($B13=0,0,E13/$B13))</f>
        <v>0</v>
      </c>
      <c r="G13" s="366">
        <f t="shared" si="0"/>
        <v>0</v>
      </c>
      <c r="H13" s="324"/>
      <c r="J13" s="355"/>
      <c r="K13" s="355"/>
      <c r="L13" s="355"/>
      <c r="M13" s="355"/>
      <c r="N13" s="355"/>
      <c r="O13" s="355"/>
      <c r="P13" s="355"/>
    </row>
    <row r="14" spans="1:8" ht="12.75">
      <c r="A14" s="367" t="s">
        <v>708</v>
      </c>
      <c r="B14" s="368">
        <f aca="true" t="shared" si="1" ref="B14:G14">SUM(B15:B16)</f>
        <v>0</v>
      </c>
      <c r="C14" s="368">
        <f t="shared" si="1"/>
        <v>0</v>
      </c>
      <c r="D14" s="185">
        <f aca="true" t="shared" si="2" ref="D14:F27">IF($B14="",0,IF($B14=0,0,C14/$B14))</f>
        <v>0</v>
      </c>
      <c r="E14" s="368">
        <f t="shared" si="1"/>
        <v>0</v>
      </c>
      <c r="F14" s="185">
        <f t="shared" si="2"/>
        <v>0</v>
      </c>
      <c r="G14" s="369">
        <f t="shared" si="1"/>
        <v>0</v>
      </c>
      <c r="H14" s="324"/>
    </row>
    <row r="15" spans="1:8" ht="12.75">
      <c r="A15" s="367" t="s">
        <v>709</v>
      </c>
      <c r="B15" s="370"/>
      <c r="C15" s="370"/>
      <c r="D15" s="185">
        <f t="shared" si="2"/>
        <v>0</v>
      </c>
      <c r="E15" s="371"/>
      <c r="F15" s="185">
        <f t="shared" si="2"/>
        <v>0</v>
      </c>
      <c r="G15" s="370"/>
      <c r="H15" s="324"/>
    </row>
    <row r="16" spans="1:8" ht="12.75">
      <c r="A16" s="367" t="s">
        <v>710</v>
      </c>
      <c r="B16" s="372"/>
      <c r="C16" s="372"/>
      <c r="D16" s="185">
        <f t="shared" si="2"/>
        <v>0</v>
      </c>
      <c r="E16" s="372"/>
      <c r="F16" s="185">
        <f t="shared" si="2"/>
        <v>0</v>
      </c>
      <c r="G16" s="373"/>
      <c r="H16" s="324"/>
    </row>
    <row r="17" spans="1:8" ht="12.75">
      <c r="A17" s="367" t="s">
        <v>711</v>
      </c>
      <c r="B17" s="368">
        <f aca="true" t="shared" si="3" ref="B17:G17">SUM(B18:B19)</f>
        <v>0</v>
      </c>
      <c r="C17" s="368">
        <f t="shared" si="3"/>
        <v>0</v>
      </c>
      <c r="D17" s="185">
        <f t="shared" si="2"/>
        <v>0</v>
      </c>
      <c r="E17" s="368">
        <f t="shared" si="3"/>
        <v>0</v>
      </c>
      <c r="F17" s="185">
        <f t="shared" si="2"/>
        <v>0</v>
      </c>
      <c r="G17" s="374">
        <f t="shared" si="3"/>
        <v>0</v>
      </c>
      <c r="H17" s="324"/>
    </row>
    <row r="18" spans="1:8" ht="12.75">
      <c r="A18" s="367" t="s">
        <v>709</v>
      </c>
      <c r="B18" s="373"/>
      <c r="C18" s="375"/>
      <c r="D18" s="185">
        <f t="shared" si="2"/>
        <v>0</v>
      </c>
      <c r="E18" s="376"/>
      <c r="F18" s="185">
        <f t="shared" si="2"/>
        <v>0</v>
      </c>
      <c r="G18" s="370"/>
      <c r="H18" s="324"/>
    </row>
    <row r="19" spans="1:8" ht="12.75">
      <c r="A19" s="367" t="s">
        <v>710</v>
      </c>
      <c r="B19" s="373"/>
      <c r="C19" s="370"/>
      <c r="D19" s="185">
        <f t="shared" si="2"/>
        <v>0</v>
      </c>
      <c r="E19" s="370"/>
      <c r="F19" s="185">
        <f t="shared" si="2"/>
        <v>0</v>
      </c>
      <c r="G19" s="117"/>
      <c r="H19" s="355"/>
    </row>
    <row r="20" spans="1:8" ht="12.75">
      <c r="A20" s="364" t="s">
        <v>712</v>
      </c>
      <c r="B20" s="368">
        <f aca="true" t="shared" si="4" ref="B20:G20">SUM(B21:B22)</f>
        <v>0</v>
      </c>
      <c r="C20" s="368">
        <f t="shared" si="4"/>
        <v>0</v>
      </c>
      <c r="D20" s="185">
        <f t="shared" si="2"/>
        <v>0</v>
      </c>
      <c r="E20" s="368">
        <f t="shared" si="4"/>
        <v>0</v>
      </c>
      <c r="F20" s="185">
        <f t="shared" si="2"/>
        <v>0</v>
      </c>
      <c r="G20" s="374">
        <f t="shared" si="4"/>
        <v>0</v>
      </c>
      <c r="H20" s="355"/>
    </row>
    <row r="21" spans="1:8" ht="12.75">
      <c r="A21" s="364" t="s">
        <v>713</v>
      </c>
      <c r="B21" s="377"/>
      <c r="C21" s="117"/>
      <c r="D21" s="185">
        <f t="shared" si="2"/>
        <v>0</v>
      </c>
      <c r="E21" s="117"/>
      <c r="F21" s="185">
        <f t="shared" si="2"/>
        <v>0</v>
      </c>
      <c r="G21" s="377"/>
      <c r="H21" s="355"/>
    </row>
    <row r="22" spans="1:8" ht="12.75">
      <c r="A22" s="364" t="s">
        <v>714</v>
      </c>
      <c r="B22" s="377"/>
      <c r="C22" s="117"/>
      <c r="D22" s="185">
        <f t="shared" si="2"/>
        <v>0</v>
      </c>
      <c r="E22" s="117"/>
      <c r="F22" s="185">
        <f t="shared" si="2"/>
        <v>0</v>
      </c>
      <c r="G22" s="377"/>
      <c r="H22" s="355"/>
    </row>
    <row r="23" spans="1:8" ht="12.75">
      <c r="A23" s="364" t="s">
        <v>715</v>
      </c>
      <c r="B23" s="377"/>
      <c r="C23" s="117"/>
      <c r="D23" s="185">
        <f t="shared" si="2"/>
        <v>0</v>
      </c>
      <c r="E23" s="117"/>
      <c r="F23" s="185">
        <f t="shared" si="2"/>
        <v>0</v>
      </c>
      <c r="G23" s="377"/>
      <c r="H23" s="355"/>
    </row>
    <row r="24" spans="1:8" ht="12.75">
      <c r="A24" s="364" t="s">
        <v>716</v>
      </c>
      <c r="B24" s="377"/>
      <c r="C24" s="117"/>
      <c r="D24" s="185">
        <f t="shared" si="2"/>
        <v>0</v>
      </c>
      <c r="E24" s="117"/>
      <c r="F24" s="185">
        <f t="shared" si="2"/>
        <v>0</v>
      </c>
      <c r="G24" s="377"/>
      <c r="H24" s="355"/>
    </row>
    <row r="25" spans="1:8" ht="12.75">
      <c r="A25" s="364" t="s">
        <v>717</v>
      </c>
      <c r="B25" s="377"/>
      <c r="C25" s="117"/>
      <c r="D25" s="185">
        <f t="shared" si="2"/>
        <v>0</v>
      </c>
      <c r="E25" s="117"/>
      <c r="F25" s="185">
        <f t="shared" si="2"/>
        <v>0</v>
      </c>
      <c r="G25" s="377"/>
      <c r="H25" s="355"/>
    </row>
    <row r="26" spans="1:8" ht="12.75">
      <c r="A26" s="364" t="s">
        <v>718</v>
      </c>
      <c r="B26" s="377"/>
      <c r="C26" s="117"/>
      <c r="D26" s="185">
        <f t="shared" si="2"/>
        <v>0</v>
      </c>
      <c r="E26" s="117"/>
      <c r="F26" s="185">
        <f t="shared" si="2"/>
        <v>0</v>
      </c>
      <c r="G26" s="118"/>
      <c r="H26" s="355"/>
    </row>
    <row r="27" spans="1:8" ht="12.75">
      <c r="A27" s="378" t="s">
        <v>719</v>
      </c>
      <c r="B27" s="379">
        <f aca="true" t="shared" si="5" ref="B27:G27">SUM(B13,B20,B23:B26)</f>
        <v>0</v>
      </c>
      <c r="C27" s="379">
        <f t="shared" si="5"/>
        <v>0</v>
      </c>
      <c r="D27" s="195">
        <f t="shared" si="2"/>
        <v>0</v>
      </c>
      <c r="E27" s="379">
        <f t="shared" si="5"/>
        <v>0</v>
      </c>
      <c r="F27" s="195">
        <f t="shared" si="2"/>
        <v>0</v>
      </c>
      <c r="G27" s="380">
        <f t="shared" si="5"/>
        <v>0</v>
      </c>
      <c r="H27" s="355"/>
    </row>
    <row r="28" spans="1:7" ht="19.5" customHeight="1">
      <c r="A28" s="1216" t="s">
        <v>655</v>
      </c>
      <c r="B28" s="1217"/>
      <c r="C28" s="1217"/>
      <c r="D28" s="1217"/>
      <c r="E28" s="1218"/>
      <c r="F28" s="1216" t="s">
        <v>411</v>
      </c>
      <c r="G28" s="1217"/>
    </row>
    <row r="29" spans="1:7" ht="12.75">
      <c r="A29" s="1214" t="s">
        <v>720</v>
      </c>
      <c r="B29" s="1214"/>
      <c r="C29" s="1214"/>
      <c r="D29" s="1214"/>
      <c r="E29" s="1215"/>
      <c r="F29" s="1219"/>
      <c r="G29" s="1220"/>
    </row>
    <row r="30" spans="1:7" ht="12.75">
      <c r="A30" s="1214" t="s">
        <v>721</v>
      </c>
      <c r="B30" s="1214"/>
      <c r="C30" s="1214"/>
      <c r="D30" s="1214"/>
      <c r="E30" s="1215"/>
      <c r="F30" s="1207"/>
      <c r="G30" s="1208"/>
    </row>
    <row r="31" spans="1:7" ht="12.75" customHeight="1">
      <c r="A31" s="1214" t="s">
        <v>722</v>
      </c>
      <c r="B31" s="1214"/>
      <c r="C31" s="1214"/>
      <c r="D31" s="1214"/>
      <c r="E31" s="1215"/>
      <c r="F31" s="1207"/>
      <c r="G31" s="1208"/>
    </row>
    <row r="32" spans="1:7" ht="13.5" customHeight="1">
      <c r="A32" s="1214" t="s">
        <v>723</v>
      </c>
      <c r="B32" s="1214"/>
      <c r="C32" s="1214"/>
      <c r="D32" s="1214"/>
      <c r="E32" s="1215"/>
      <c r="F32" s="1207"/>
      <c r="G32" s="1208"/>
    </row>
    <row r="33" spans="1:7" ht="13.5" customHeight="1">
      <c r="A33" s="1214" t="s">
        <v>724</v>
      </c>
      <c r="B33" s="1214"/>
      <c r="C33" s="1214"/>
      <c r="D33" s="1214"/>
      <c r="E33" s="1215"/>
      <c r="F33" s="1207"/>
      <c r="G33" s="1208"/>
    </row>
    <row r="34" spans="1:7" s="346" customFormat="1" ht="12.75" customHeight="1">
      <c r="A34" s="1223" t="s">
        <v>725</v>
      </c>
      <c r="B34" s="1223"/>
      <c r="C34" s="1223"/>
      <c r="D34" s="1223"/>
      <c r="E34" s="1223"/>
      <c r="F34" s="1224"/>
      <c r="G34" s="1225"/>
    </row>
    <row r="35" spans="1:7" ht="14.25" customHeight="1">
      <c r="A35" s="1226" t="s">
        <v>726</v>
      </c>
      <c r="B35" s="1226"/>
      <c r="C35" s="1226"/>
      <c r="D35" s="1226"/>
      <c r="E35" s="1227"/>
      <c r="F35" s="1228">
        <f>SUM(F29:G34)</f>
        <v>0</v>
      </c>
      <c r="G35" s="1229"/>
    </row>
    <row r="36" spans="1:7" ht="12.75">
      <c r="A36" s="1226" t="s">
        <v>727</v>
      </c>
      <c r="B36" s="1226"/>
      <c r="C36" s="1226"/>
      <c r="D36" s="1226"/>
      <c r="E36" s="1227"/>
      <c r="F36" s="1228">
        <f>E27-F35</f>
        <v>0</v>
      </c>
      <c r="G36" s="1229"/>
    </row>
    <row r="37" spans="1:3" ht="12.75">
      <c r="A37" s="840" t="s">
        <v>728</v>
      </c>
      <c r="B37" s="840"/>
      <c r="C37" s="840"/>
    </row>
  </sheetData>
  <sheetProtection password="C236" sheet="1" objects="1" formatColumns="0" selectLockedCells="1"/>
  <mergeCells count="34">
    <mergeCell ref="A37:C37"/>
    <mergeCell ref="B10:B11"/>
    <mergeCell ref="G10:G11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7:G7"/>
    <mergeCell ref="J8:M8"/>
    <mergeCell ref="A9:G9"/>
    <mergeCell ref="J9:M9"/>
    <mergeCell ref="C10:D10"/>
    <mergeCell ref="E10:F10"/>
    <mergeCell ref="J10:K10"/>
    <mergeCell ref="A1:F1"/>
    <mergeCell ref="A2:E2"/>
    <mergeCell ref="A3:E3"/>
    <mergeCell ref="A4:E4"/>
    <mergeCell ref="A5:E5"/>
    <mergeCell ref="A6:E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" bottom="0" header="0" footer="0"/>
  <pageSetup fitToHeight="1" fitToWidth="1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zoomScale="90" zoomScaleNormal="90" zoomScalePageLayoutView="0" workbookViewId="0" topLeftCell="A1">
      <selection activeCell="F12" sqref="F12:I12"/>
    </sheetView>
  </sheetViews>
  <sheetFormatPr defaultColWidth="6.7109375" defaultRowHeight="11.25" customHeight="1"/>
  <cols>
    <col min="1" max="1" width="41.28125" style="325" customWidth="1"/>
    <col min="2" max="6" width="8.7109375" style="325" customWidth="1"/>
    <col min="7" max="7" width="8.7109375" style="324" customWidth="1"/>
    <col min="8" max="9" width="8.7109375" style="325" customWidth="1"/>
    <col min="10" max="10" width="16.7109375" style="325" customWidth="1"/>
    <col min="11" max="16384" width="6.7109375" style="325" customWidth="1"/>
  </cols>
  <sheetData>
    <row r="1" spans="1:11" s="323" customFormat="1" ht="15.75">
      <c r="A1" s="1230" t="s">
        <v>729</v>
      </c>
      <c r="B1" s="1230"/>
      <c r="C1" s="1230"/>
      <c r="D1" s="1230"/>
      <c r="E1" s="1230"/>
      <c r="F1" s="1230"/>
      <c r="G1" s="1230"/>
      <c r="H1" s="1230"/>
      <c r="I1" s="1230"/>
      <c r="J1" s="1230"/>
      <c r="K1" s="337"/>
    </row>
    <row r="2" spans="1:11" ht="11.25" customHeight="1">
      <c r="A2" s="1231"/>
      <c r="B2" s="1231"/>
      <c r="C2" s="1231"/>
      <c r="D2" s="1231"/>
      <c r="E2" s="1231"/>
      <c r="F2" s="1231"/>
      <c r="G2" s="1231"/>
      <c r="H2" s="1231"/>
      <c r="I2" s="1231"/>
      <c r="J2" s="1231"/>
      <c r="K2" s="338"/>
    </row>
    <row r="3" spans="1:11" ht="12.75">
      <c r="A3" s="1069" t="str">
        <f>'Informações Iniciais'!A1</f>
        <v>ESTADO DO MARANHÃO - PREFEITURA MUNICIPAL DE DAVINOPOLIS</v>
      </c>
      <c r="B3" s="1069"/>
      <c r="C3" s="1069"/>
      <c r="D3" s="1069"/>
      <c r="E3" s="1069"/>
      <c r="F3" s="1069"/>
      <c r="G3" s="1069"/>
      <c r="H3" s="1069"/>
      <c r="I3" s="1069"/>
      <c r="J3" s="1069"/>
      <c r="K3" s="338"/>
    </row>
    <row r="4" spans="1:11" ht="12.75">
      <c r="A4" s="1069" t="s">
        <v>1</v>
      </c>
      <c r="B4" s="1069"/>
      <c r="C4" s="1069"/>
      <c r="D4" s="1069"/>
      <c r="E4" s="1069"/>
      <c r="F4" s="1069"/>
      <c r="G4" s="1069"/>
      <c r="H4" s="1069"/>
      <c r="I4" s="1069"/>
      <c r="J4" s="1069"/>
      <c r="K4" s="338"/>
    </row>
    <row r="5" spans="1:11" ht="12.75">
      <c r="A5" s="1232" t="s">
        <v>730</v>
      </c>
      <c r="B5" s="1232"/>
      <c r="C5" s="1232"/>
      <c r="D5" s="1232"/>
      <c r="E5" s="1232"/>
      <c r="F5" s="1232"/>
      <c r="G5" s="1232"/>
      <c r="H5" s="1232"/>
      <c r="I5" s="1232"/>
      <c r="J5" s="1232"/>
      <c r="K5" s="338"/>
    </row>
    <row r="6" spans="1:11" ht="12.75">
      <c r="A6" s="1069" t="s">
        <v>30</v>
      </c>
      <c r="B6" s="1069"/>
      <c r="C6" s="1069"/>
      <c r="D6" s="1069"/>
      <c r="E6" s="1069"/>
      <c r="F6" s="1069"/>
      <c r="G6" s="1069"/>
      <c r="H6" s="1069"/>
      <c r="I6" s="1069"/>
      <c r="J6" s="1069"/>
      <c r="K6" s="338"/>
    </row>
    <row r="7" spans="1:11" ht="12.75">
      <c r="A7" s="1069" t="str">
        <f>'Informações Iniciais'!A5</f>
        <v>1º Bimestre de 2017</v>
      </c>
      <c r="B7" s="1069"/>
      <c r="C7" s="1069"/>
      <c r="D7" s="1069"/>
      <c r="E7" s="1069"/>
      <c r="F7" s="1069"/>
      <c r="G7" s="1069"/>
      <c r="H7" s="1069"/>
      <c r="I7" s="1069"/>
      <c r="J7" s="1069"/>
      <c r="K7" s="338"/>
    </row>
    <row r="8" spans="1:11" ht="12.75">
      <c r="A8" s="327"/>
      <c r="B8" s="1233"/>
      <c r="C8" s="1233"/>
      <c r="D8" s="327"/>
      <c r="E8" s="327"/>
      <c r="F8" s="1233"/>
      <c r="G8" s="1233"/>
      <c r="H8" s="1233"/>
      <c r="I8" s="1233"/>
      <c r="J8" s="327"/>
      <c r="K8" s="338"/>
    </row>
    <row r="9" spans="1:11" ht="12.75">
      <c r="A9" s="328" t="s">
        <v>731</v>
      </c>
      <c r="B9" s="1231"/>
      <c r="C9" s="1231"/>
      <c r="D9" s="326"/>
      <c r="E9" s="326"/>
      <c r="F9" s="1231"/>
      <c r="G9" s="1231"/>
      <c r="H9" s="1231"/>
      <c r="I9" s="1231"/>
      <c r="J9" s="339" t="s">
        <v>32</v>
      </c>
      <c r="K9" s="338"/>
    </row>
    <row r="10" spans="1:11" ht="27" customHeight="1">
      <c r="A10" s="1256" t="s">
        <v>33</v>
      </c>
      <c r="B10" s="1234" t="s">
        <v>35</v>
      </c>
      <c r="C10" s="1235"/>
      <c r="D10" s="1235"/>
      <c r="E10" s="1236"/>
      <c r="F10" s="1234" t="s">
        <v>36</v>
      </c>
      <c r="G10" s="1235"/>
      <c r="H10" s="1235"/>
      <c r="I10" s="1236"/>
      <c r="J10" s="329" t="s">
        <v>732</v>
      </c>
      <c r="K10" s="1261"/>
    </row>
    <row r="11" spans="1:11" s="324" customFormat="1" ht="12.75" customHeight="1">
      <c r="A11" s="1257"/>
      <c r="B11" s="1237" t="s">
        <v>41</v>
      </c>
      <c r="C11" s="1238"/>
      <c r="D11" s="1238"/>
      <c r="E11" s="1239"/>
      <c r="F11" s="1237" t="s">
        <v>42</v>
      </c>
      <c r="G11" s="1238"/>
      <c r="H11" s="1238"/>
      <c r="I11" s="1239"/>
      <c r="J11" s="340" t="s">
        <v>733</v>
      </c>
      <c r="K11" s="1261"/>
    </row>
    <row r="12" spans="1:11" ht="15.75">
      <c r="A12" s="331" t="s">
        <v>734</v>
      </c>
      <c r="B12" s="1240">
        <v>6289855.81</v>
      </c>
      <c r="C12" s="1240"/>
      <c r="D12" s="1240"/>
      <c r="E12" s="1240"/>
      <c r="F12" s="1240"/>
      <c r="G12" s="1240"/>
      <c r="H12" s="1240"/>
      <c r="I12" s="1240"/>
      <c r="J12" s="341">
        <f>B12-F12</f>
        <v>6289855.81</v>
      </c>
      <c r="K12" s="338"/>
    </row>
    <row r="13" spans="1:11" ht="12.75">
      <c r="A13" s="1241"/>
      <c r="B13" s="1241"/>
      <c r="C13" s="1241"/>
      <c r="D13" s="1241"/>
      <c r="E13" s="1241"/>
      <c r="F13" s="1241"/>
      <c r="G13" s="1241"/>
      <c r="H13" s="1241"/>
      <c r="I13" s="1241"/>
      <c r="J13" s="1242"/>
      <c r="K13" s="338"/>
    </row>
    <row r="14" spans="1:11" ht="27" customHeight="1">
      <c r="A14" s="1256" t="s">
        <v>125</v>
      </c>
      <c r="B14" s="1234" t="s">
        <v>735</v>
      </c>
      <c r="C14" s="1236"/>
      <c r="D14" s="1234" t="s">
        <v>121</v>
      </c>
      <c r="E14" s="1236"/>
      <c r="F14" s="1234" t="s">
        <v>122</v>
      </c>
      <c r="G14" s="1236"/>
      <c r="H14" s="1234" t="s">
        <v>736</v>
      </c>
      <c r="I14" s="1236"/>
      <c r="J14" s="1234" t="s">
        <v>737</v>
      </c>
      <c r="K14" s="342"/>
    </row>
    <row r="15" spans="1:11" ht="27" customHeight="1">
      <c r="A15" s="1258"/>
      <c r="B15" s="1259"/>
      <c r="C15" s="1263"/>
      <c r="D15" s="1259"/>
      <c r="E15" s="1263"/>
      <c r="F15" s="1259"/>
      <c r="G15" s="1263"/>
      <c r="H15" s="1259"/>
      <c r="I15" s="1263"/>
      <c r="J15" s="1259"/>
      <c r="K15" s="1262"/>
    </row>
    <row r="16" spans="1:11" ht="12.75">
      <c r="A16" s="1257"/>
      <c r="B16" s="1243" t="s">
        <v>126</v>
      </c>
      <c r="C16" s="1243"/>
      <c r="D16" s="1244" t="s">
        <v>127</v>
      </c>
      <c r="E16" s="1244"/>
      <c r="F16" s="1264"/>
      <c r="G16" s="1265"/>
      <c r="H16" s="1264"/>
      <c r="I16" s="1265"/>
      <c r="J16" s="330" t="s">
        <v>738</v>
      </c>
      <c r="K16" s="1262"/>
    </row>
    <row r="17" spans="1:11" ht="12.75">
      <c r="A17" s="332" t="s">
        <v>739</v>
      </c>
      <c r="B17" s="1245"/>
      <c r="C17" s="1245"/>
      <c r="D17" s="1245"/>
      <c r="E17" s="1245"/>
      <c r="F17" s="1245"/>
      <c r="G17" s="1245"/>
      <c r="H17" s="1245"/>
      <c r="I17" s="1245"/>
      <c r="J17" s="343">
        <f>B17-D17</f>
        <v>0</v>
      </c>
      <c r="K17" s="338"/>
    </row>
    <row r="18" spans="1:11" ht="12.75">
      <c r="A18" s="333" t="s">
        <v>740</v>
      </c>
      <c r="B18" s="1246"/>
      <c r="C18" s="1246"/>
      <c r="D18" s="1246"/>
      <c r="E18" s="1246"/>
      <c r="F18" s="1246"/>
      <c r="G18" s="1246"/>
      <c r="H18" s="1246"/>
      <c r="I18" s="1246"/>
      <c r="J18" s="344">
        <f>B18-D18</f>
        <v>0</v>
      </c>
      <c r="K18" s="338"/>
    </row>
    <row r="19" spans="1:11" ht="25.5">
      <c r="A19" s="334" t="s">
        <v>741</v>
      </c>
      <c r="B19" s="1246"/>
      <c r="C19" s="1246"/>
      <c r="D19" s="1246"/>
      <c r="E19" s="1246"/>
      <c r="F19" s="1246"/>
      <c r="G19" s="1246"/>
      <c r="H19" s="1246"/>
      <c r="I19" s="1246"/>
      <c r="J19" s="345">
        <f>B19-D19</f>
        <v>0</v>
      </c>
      <c r="K19" s="338"/>
    </row>
    <row r="20" spans="1:11" ht="12.75">
      <c r="A20" s="331" t="s">
        <v>742</v>
      </c>
      <c r="B20" s="1247">
        <f>B17-ABS(B18)-ABS(B19)</f>
        <v>0</v>
      </c>
      <c r="C20" s="1247"/>
      <c r="D20" s="1247">
        <f>D17-ABS(D18)-ABS(D19)</f>
        <v>0</v>
      </c>
      <c r="E20" s="1247"/>
      <c r="F20" s="1247">
        <f>F17-ABS(F18)-ABS(F19)</f>
        <v>0</v>
      </c>
      <c r="G20" s="1247"/>
      <c r="H20" s="1247">
        <f>H17-ABS(H18)-ABS(H19)</f>
        <v>0</v>
      </c>
      <c r="I20" s="1247"/>
      <c r="J20" s="343">
        <f>B20-D20</f>
        <v>0</v>
      </c>
      <c r="K20" s="338"/>
    </row>
    <row r="21" spans="1:11" ht="12.75">
      <c r="A21" s="1241"/>
      <c r="B21" s="1241"/>
      <c r="C21" s="1241"/>
      <c r="D21" s="1241"/>
      <c r="E21" s="1241"/>
      <c r="F21" s="1241"/>
      <c r="G21" s="1241"/>
      <c r="H21" s="1241"/>
      <c r="I21" s="1241"/>
      <c r="J21" s="1242"/>
      <c r="K21" s="338"/>
    </row>
    <row r="22" spans="1:11" ht="12.75">
      <c r="A22" s="335" t="s">
        <v>743</v>
      </c>
      <c r="B22" s="1260">
        <f>B12-B20</f>
        <v>6289855.81</v>
      </c>
      <c r="C22" s="1176"/>
      <c r="D22" s="1260">
        <f>F12-D20</f>
        <v>0</v>
      </c>
      <c r="E22" s="1185"/>
      <c r="F22" s="1249"/>
      <c r="G22" s="1250"/>
      <c r="H22" s="1249"/>
      <c r="I22" s="1250"/>
      <c r="J22" s="1260">
        <f>J12-J20</f>
        <v>6289855.81</v>
      </c>
      <c r="K22" s="1261"/>
    </row>
    <row r="23" spans="1:11" ht="12.75">
      <c r="A23" s="336" t="s">
        <v>744</v>
      </c>
      <c r="B23" s="1188"/>
      <c r="C23" s="1178"/>
      <c r="D23" s="1188"/>
      <c r="E23" s="1189"/>
      <c r="F23" s="1251"/>
      <c r="G23" s="1252"/>
      <c r="H23" s="1251"/>
      <c r="I23" s="1252"/>
      <c r="J23" s="1188"/>
      <c r="K23" s="1261"/>
    </row>
    <row r="24" spans="1:11" ht="12.75" customHeight="1">
      <c r="A24" s="1248" t="s">
        <v>155</v>
      </c>
      <c r="B24" s="1248"/>
      <c r="C24" s="1248"/>
      <c r="D24" s="1248"/>
      <c r="E24" s="1248"/>
      <c r="F24" s="1248"/>
      <c r="G24" s="1248"/>
      <c r="H24" s="1248"/>
      <c r="I24" s="1248"/>
      <c r="J24" s="1248"/>
      <c r="K24" s="338"/>
    </row>
    <row r="25" spans="1:11" ht="12.75">
      <c r="A25" s="1253" t="s">
        <v>745</v>
      </c>
      <c r="B25" s="1253"/>
      <c r="C25" s="1253"/>
      <c r="D25" s="1253"/>
      <c r="E25" s="1253"/>
      <c r="F25" s="1253"/>
      <c r="G25" s="1253"/>
      <c r="H25" s="1253"/>
      <c r="I25" s="1253"/>
      <c r="J25" s="1253"/>
      <c r="K25" s="1261"/>
    </row>
    <row r="26" spans="1:11" ht="15.75">
      <c r="A26" s="1254" t="s">
        <v>746</v>
      </c>
      <c r="B26" s="1254"/>
      <c r="C26" s="1254"/>
      <c r="D26" s="1254"/>
      <c r="E26" s="1254"/>
      <c r="F26" s="1254"/>
      <c r="G26" s="1254"/>
      <c r="H26" s="1254"/>
      <c r="I26" s="1254"/>
      <c r="J26" s="1254"/>
      <c r="K26" s="1261"/>
    </row>
    <row r="27" spans="1:11" ht="15.75">
      <c r="A27" s="1254"/>
      <c r="B27" s="1254"/>
      <c r="C27" s="1254"/>
      <c r="D27" s="1254"/>
      <c r="E27" s="1254"/>
      <c r="F27" s="1254"/>
      <c r="G27" s="1254"/>
      <c r="H27" s="1254"/>
      <c r="I27" s="1254"/>
      <c r="J27" s="1254"/>
      <c r="K27" s="1261"/>
    </row>
    <row r="28" spans="1:11" ht="12.75">
      <c r="A28" s="1255"/>
      <c r="B28" s="1255"/>
      <c r="C28" s="1255"/>
      <c r="D28" s="1255"/>
      <c r="E28" s="1255"/>
      <c r="F28" s="1255"/>
      <c r="G28" s="1255"/>
      <c r="H28" s="1255"/>
      <c r="I28" s="1255"/>
      <c r="J28" s="1255"/>
      <c r="K28" s="1261"/>
    </row>
    <row r="29" spans="1:11" ht="12.75">
      <c r="A29" s="1255"/>
      <c r="B29" s="1255"/>
      <c r="C29" s="1255"/>
      <c r="D29" s="1255"/>
      <c r="E29" s="1255"/>
      <c r="F29" s="1255"/>
      <c r="G29" s="1255"/>
      <c r="H29" s="1255"/>
      <c r="I29" s="1255"/>
      <c r="J29" s="1255"/>
      <c r="K29" s="1261"/>
    </row>
  </sheetData>
  <sheetProtection password="C236" sheet="1" objects="1" formatColumns="0" selectLockedCells="1"/>
  <mergeCells count="63">
    <mergeCell ref="K10:K11"/>
    <mergeCell ref="K15:K16"/>
    <mergeCell ref="K22:K23"/>
    <mergeCell ref="K25:K26"/>
    <mergeCell ref="K27:K29"/>
    <mergeCell ref="B14:C15"/>
    <mergeCell ref="D14:E15"/>
    <mergeCell ref="F14:G16"/>
    <mergeCell ref="H14:I16"/>
    <mergeCell ref="B22:C23"/>
    <mergeCell ref="A25:J25"/>
    <mergeCell ref="A26:J26"/>
    <mergeCell ref="A27:J27"/>
    <mergeCell ref="A28:J28"/>
    <mergeCell ref="A29:J29"/>
    <mergeCell ref="A10:A11"/>
    <mergeCell ref="A14:A16"/>
    <mergeCell ref="J14:J15"/>
    <mergeCell ref="J22:J23"/>
    <mergeCell ref="D22:E23"/>
    <mergeCell ref="B20:C20"/>
    <mergeCell ref="D20:E20"/>
    <mergeCell ref="F20:G20"/>
    <mergeCell ref="H20:I20"/>
    <mergeCell ref="A21:J21"/>
    <mergeCell ref="A24:J24"/>
    <mergeCell ref="F22:G23"/>
    <mergeCell ref="H22:I23"/>
    <mergeCell ref="B18:C18"/>
    <mergeCell ref="D18:E18"/>
    <mergeCell ref="F18:G18"/>
    <mergeCell ref="H18:I18"/>
    <mergeCell ref="B19:C19"/>
    <mergeCell ref="D19:E19"/>
    <mergeCell ref="F19:G19"/>
    <mergeCell ref="H19:I19"/>
    <mergeCell ref="B12:E12"/>
    <mergeCell ref="F12:I12"/>
    <mergeCell ref="A13:J13"/>
    <mergeCell ref="B16:C16"/>
    <mergeCell ref="D16:E16"/>
    <mergeCell ref="B17:C17"/>
    <mergeCell ref="D17:E17"/>
    <mergeCell ref="F17:G17"/>
    <mergeCell ref="H17:I17"/>
    <mergeCell ref="B9:C9"/>
    <mergeCell ref="F9:I9"/>
    <mergeCell ref="B10:E10"/>
    <mergeCell ref="F10:I10"/>
    <mergeCell ref="B11:E11"/>
    <mergeCell ref="F11:I11"/>
    <mergeCell ref="A4:J4"/>
    <mergeCell ref="A5:J5"/>
    <mergeCell ref="A6:J6"/>
    <mergeCell ref="A7:J7"/>
    <mergeCell ref="B8:C8"/>
    <mergeCell ref="F8:I8"/>
    <mergeCell ref="A1:J1"/>
    <mergeCell ref="A2:B2"/>
    <mergeCell ref="C2:F2"/>
    <mergeCell ref="G2:H2"/>
    <mergeCell ref="I2:J2"/>
    <mergeCell ref="A3:J3"/>
  </mergeCells>
  <printOptions horizontalCentered="1"/>
  <pageMargins left="0.59" right="0.47" top="0.59" bottom="0.39" header="0" footer="0.2"/>
  <pageSetup fitToHeight="1" fitToWidth="1" horizontalDpi="600" verticalDpi="6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3"/>
  <sheetViews>
    <sheetView showGridLines="0" zoomScale="115" zoomScaleNormal="115" zoomScalePageLayoutView="0" workbookViewId="0" topLeftCell="A1">
      <selection activeCell="A13" sqref="A13:C13"/>
    </sheetView>
  </sheetViews>
  <sheetFormatPr defaultColWidth="7.8515625" defaultRowHeight="11.25" customHeight="1"/>
  <cols>
    <col min="1" max="1" width="10.00390625" style="3" customWidth="1"/>
    <col min="2" max="2" width="6.28125" style="3" customWidth="1"/>
    <col min="3" max="3" width="14.00390625" style="3" customWidth="1"/>
    <col min="4" max="4" width="10.28125" style="3" customWidth="1"/>
    <col min="5" max="5" width="12.00390625" style="3" customWidth="1"/>
    <col min="6" max="6" width="12.57421875" style="3" customWidth="1"/>
    <col min="7" max="7" width="10.140625" style="3" customWidth="1"/>
    <col min="8" max="8" width="16.140625" style="3" customWidth="1"/>
    <col min="9" max="9" width="8.421875" style="3" customWidth="1"/>
    <col min="10" max="10" width="25.57421875" style="3" bestFit="1" customWidth="1"/>
    <col min="11" max="11" width="2.421875" style="3" customWidth="1"/>
    <col min="12" max="16384" width="7.8515625" style="3" customWidth="1"/>
  </cols>
  <sheetData>
    <row r="1" spans="1:3" ht="15.75">
      <c r="A1" s="314" t="s">
        <v>747</v>
      </c>
      <c r="B1" s="315"/>
      <c r="C1" s="315"/>
    </row>
    <row r="2" spans="12:15" ht="11.25" customHeight="1">
      <c r="L2" s="1298" t="s">
        <v>748</v>
      </c>
      <c r="M2" s="1298"/>
      <c r="N2" s="1298"/>
      <c r="O2" s="1298"/>
    </row>
    <row r="3" spans="1:15" ht="11.25" customHeight="1">
      <c r="A3" s="1266" t="str">
        <f>'Informações Iniciais'!A1:B1</f>
        <v>ESTADO DO MARANHÃO - PREFEITURA MUNICIPAL DE DAVINOPOLIS</v>
      </c>
      <c r="B3" s="1266"/>
      <c r="C3" s="1266"/>
      <c r="D3" s="1266"/>
      <c r="E3" s="1266"/>
      <c r="F3" s="1266"/>
      <c r="G3" s="1266"/>
      <c r="H3" s="1266"/>
      <c r="I3" s="1266"/>
      <c r="J3" s="1266"/>
      <c r="L3" s="1298"/>
      <c r="M3" s="1298"/>
      <c r="N3" s="1298"/>
      <c r="O3" s="1298"/>
    </row>
    <row r="4" spans="1:10" ht="11.25" customHeight="1">
      <c r="A4" s="1266" t="s">
        <v>1</v>
      </c>
      <c r="B4" s="1266"/>
      <c r="C4" s="1266"/>
      <c r="D4" s="1266"/>
      <c r="E4" s="1266"/>
      <c r="F4" s="1266"/>
      <c r="G4" s="1266"/>
      <c r="H4" s="1266"/>
      <c r="I4" s="1266"/>
      <c r="J4" s="1266"/>
    </row>
    <row r="5" spans="1:20" ht="11.25" customHeight="1">
      <c r="A5" s="1267" t="s">
        <v>749</v>
      </c>
      <c r="B5" s="1267"/>
      <c r="C5" s="1267"/>
      <c r="D5" s="1267"/>
      <c r="E5" s="1267"/>
      <c r="F5" s="1267"/>
      <c r="G5" s="1267"/>
      <c r="H5" s="1267"/>
      <c r="I5" s="1267"/>
      <c r="J5" s="1267"/>
      <c r="L5" s="1299" t="s">
        <v>750</v>
      </c>
      <c r="M5" s="1299"/>
      <c r="N5" s="1299"/>
      <c r="O5" s="1299"/>
      <c r="P5" s="318"/>
      <c r="Q5" s="318"/>
      <c r="R5" s="318"/>
      <c r="S5" s="318"/>
      <c r="T5" s="318"/>
    </row>
    <row r="6" spans="1:20" ht="11.25" customHeight="1">
      <c r="A6" s="1266" t="s">
        <v>366</v>
      </c>
      <c r="B6" s="1266"/>
      <c r="C6" s="1266"/>
      <c r="D6" s="1266"/>
      <c r="E6" s="1266"/>
      <c r="F6" s="1266"/>
      <c r="G6" s="1266"/>
      <c r="H6" s="1266"/>
      <c r="I6" s="1266"/>
      <c r="J6" s="1266"/>
      <c r="L6" s="1299"/>
      <c r="M6" s="1299"/>
      <c r="N6" s="1299"/>
      <c r="O6" s="1299"/>
      <c r="P6" s="318"/>
      <c r="Q6" s="318"/>
      <c r="R6" s="318"/>
      <c r="S6" s="318"/>
      <c r="T6" s="318"/>
    </row>
    <row r="7" spans="1:20" ht="11.25" customHeight="1">
      <c r="A7" s="1266" t="str">
        <f>'Informações Iniciais'!A5:B5</f>
        <v>1º Bimestre de 2017</v>
      </c>
      <c r="B7" s="1266"/>
      <c r="C7" s="1266"/>
      <c r="D7" s="1266"/>
      <c r="E7" s="1266"/>
      <c r="F7" s="1266"/>
      <c r="G7" s="1266"/>
      <c r="H7" s="1266"/>
      <c r="I7" s="1266"/>
      <c r="J7" s="1266"/>
      <c r="L7" s="1299"/>
      <c r="M7" s="1299"/>
      <c r="N7" s="1299"/>
      <c r="O7" s="1299"/>
      <c r="P7" s="318"/>
      <c r="Q7" s="318"/>
      <c r="R7" s="318"/>
      <c r="S7" s="318"/>
      <c r="T7" s="318"/>
    </row>
    <row r="8" spans="12:20" ht="11.25" customHeight="1">
      <c r="L8" s="1299"/>
      <c r="M8" s="1299"/>
      <c r="N8" s="1299"/>
      <c r="O8" s="1299"/>
      <c r="P8" s="318"/>
      <c r="Q8" s="318"/>
      <c r="R8" s="318"/>
      <c r="S8" s="318"/>
      <c r="T8" s="318"/>
    </row>
    <row r="9" spans="1:20" ht="11.25" customHeight="1">
      <c r="A9" s="3" t="s">
        <v>751</v>
      </c>
      <c r="D9" s="18"/>
      <c r="E9" s="1268"/>
      <c r="F9" s="1268"/>
      <c r="G9" s="18"/>
      <c r="J9" s="319" t="s">
        <v>32</v>
      </c>
      <c r="L9" s="1299"/>
      <c r="M9" s="1299"/>
      <c r="N9" s="1299"/>
      <c r="O9" s="1299"/>
      <c r="P9" s="318"/>
      <c r="Q9" s="318"/>
      <c r="R9" s="318"/>
      <c r="S9" s="318"/>
      <c r="T9" s="318"/>
    </row>
    <row r="10" spans="1:20" ht="15" customHeight="1">
      <c r="A10" s="1300" t="s">
        <v>752</v>
      </c>
      <c r="B10" s="1300"/>
      <c r="C10" s="1301"/>
      <c r="D10" s="1269" t="s">
        <v>753</v>
      </c>
      <c r="E10" s="1270"/>
      <c r="F10" s="1269" t="s">
        <v>125</v>
      </c>
      <c r="G10" s="1270"/>
      <c r="H10" s="1269" t="s">
        <v>754</v>
      </c>
      <c r="I10" s="1270"/>
      <c r="J10" s="320" t="s">
        <v>755</v>
      </c>
      <c r="L10" s="1299"/>
      <c r="M10" s="1299"/>
      <c r="N10" s="1299"/>
      <c r="O10" s="1299"/>
      <c r="P10" s="318"/>
      <c r="Q10" s="318"/>
      <c r="R10" s="318"/>
      <c r="S10" s="318"/>
      <c r="T10" s="318"/>
    </row>
    <row r="11" spans="1:20" ht="15" customHeight="1">
      <c r="A11" s="1302"/>
      <c r="B11" s="1302"/>
      <c r="C11" s="1303"/>
      <c r="D11" s="1271" t="s">
        <v>756</v>
      </c>
      <c r="E11" s="1272"/>
      <c r="F11" s="1271" t="s">
        <v>756</v>
      </c>
      <c r="G11" s="1272"/>
      <c r="H11" s="1271" t="s">
        <v>757</v>
      </c>
      <c r="I11" s="1272"/>
      <c r="J11" s="321" t="s">
        <v>758</v>
      </c>
      <c r="L11" s="1299"/>
      <c r="M11" s="1299"/>
      <c r="N11" s="1299"/>
      <c r="O11" s="1299"/>
      <c r="P11" s="318"/>
      <c r="Q11" s="318"/>
      <c r="R11" s="318"/>
      <c r="S11" s="318"/>
      <c r="T11" s="318"/>
    </row>
    <row r="12" spans="1:15" ht="19.5" customHeight="1">
      <c r="A12" s="1304"/>
      <c r="B12" s="1304"/>
      <c r="C12" s="1305"/>
      <c r="D12" s="1273" t="s">
        <v>41</v>
      </c>
      <c r="E12" s="1274"/>
      <c r="F12" s="1273" t="s">
        <v>42</v>
      </c>
      <c r="G12" s="1274"/>
      <c r="H12" s="1273" t="s">
        <v>759</v>
      </c>
      <c r="I12" s="1274"/>
      <c r="J12" s="322" t="s">
        <v>760</v>
      </c>
      <c r="L12" s="1299"/>
      <c r="M12" s="1299"/>
      <c r="N12" s="1299"/>
      <c r="O12" s="1299"/>
    </row>
    <row r="13" spans="1:15" ht="11.25" customHeight="1">
      <c r="A13" s="1275"/>
      <c r="B13" s="1275"/>
      <c r="C13" s="1276"/>
      <c r="D13" s="1277"/>
      <c r="E13" s="1278"/>
      <c r="F13" s="1277"/>
      <c r="G13" s="1278"/>
      <c r="H13" s="1279">
        <f>D13-F13</f>
        <v>0</v>
      </c>
      <c r="I13" s="1280"/>
      <c r="J13" s="51"/>
      <c r="L13" s="1299"/>
      <c r="M13" s="1299"/>
      <c r="N13" s="1299"/>
      <c r="O13" s="1299"/>
    </row>
    <row r="14" spans="1:15" ht="11.25">
      <c r="A14" s="1281"/>
      <c r="B14" s="1281"/>
      <c r="C14" s="1282"/>
      <c r="D14" s="1283"/>
      <c r="E14" s="1284"/>
      <c r="F14" s="1283"/>
      <c r="G14" s="1284"/>
      <c r="H14" s="1285">
        <f>D14-F14</f>
        <v>0</v>
      </c>
      <c r="I14" s="1286"/>
      <c r="J14" s="52">
        <f>J13+H14</f>
        <v>0</v>
      </c>
      <c r="L14" s="1299"/>
      <c r="M14" s="1299"/>
      <c r="N14" s="1299"/>
      <c r="O14" s="1299"/>
    </row>
    <row r="15" spans="1:15" ht="11.25">
      <c r="A15" s="1281"/>
      <c r="B15" s="1281"/>
      <c r="C15" s="1282"/>
      <c r="D15" s="1283"/>
      <c r="E15" s="1284"/>
      <c r="F15" s="1283"/>
      <c r="G15" s="1284"/>
      <c r="H15" s="1285">
        <f aca="true" t="shared" si="0" ref="H15:H78">D15-F15</f>
        <v>0</v>
      </c>
      <c r="I15" s="1286"/>
      <c r="J15" s="52">
        <f aca="true" t="shared" si="1" ref="J15:J78">J14+H15</f>
        <v>0</v>
      </c>
      <c r="L15" s="1299"/>
      <c r="M15" s="1299"/>
      <c r="N15" s="1299"/>
      <c r="O15" s="1299"/>
    </row>
    <row r="16" spans="1:15" ht="11.25">
      <c r="A16" s="1281"/>
      <c r="B16" s="1281"/>
      <c r="C16" s="1282"/>
      <c r="D16" s="1283"/>
      <c r="E16" s="1284"/>
      <c r="F16" s="1283"/>
      <c r="G16" s="1284"/>
      <c r="H16" s="1285">
        <f t="shared" si="0"/>
        <v>0</v>
      </c>
      <c r="I16" s="1286"/>
      <c r="J16" s="52">
        <f t="shared" si="1"/>
        <v>0</v>
      </c>
      <c r="L16" s="1299"/>
      <c r="M16" s="1299"/>
      <c r="N16" s="1299"/>
      <c r="O16" s="1299"/>
    </row>
    <row r="17" spans="1:20" ht="15.75" hidden="1">
      <c r="A17" s="1281"/>
      <c r="B17" s="1281"/>
      <c r="C17" s="1282"/>
      <c r="D17" s="1283"/>
      <c r="E17" s="1284"/>
      <c r="F17" s="1283"/>
      <c r="G17" s="1284"/>
      <c r="H17" s="1285">
        <f t="shared" si="0"/>
        <v>0</v>
      </c>
      <c r="I17" s="1286"/>
      <c r="J17" s="52">
        <f t="shared" si="1"/>
        <v>0</v>
      </c>
      <c r="L17" s="1299"/>
      <c r="M17" s="1299"/>
      <c r="N17" s="1299"/>
      <c r="O17" s="1299"/>
      <c r="P17" s="318"/>
      <c r="Q17" s="318"/>
      <c r="R17" s="318"/>
      <c r="S17" s="318"/>
      <c r="T17" s="318"/>
    </row>
    <row r="18" spans="1:20" ht="15.75" hidden="1">
      <c r="A18" s="1281"/>
      <c r="B18" s="1281"/>
      <c r="C18" s="1282"/>
      <c r="D18" s="1283"/>
      <c r="E18" s="1284"/>
      <c r="F18" s="1283"/>
      <c r="G18" s="1284"/>
      <c r="H18" s="1285">
        <f t="shared" si="0"/>
        <v>0</v>
      </c>
      <c r="I18" s="1286"/>
      <c r="J18" s="52">
        <f t="shared" si="1"/>
        <v>0</v>
      </c>
      <c r="L18" s="1299"/>
      <c r="M18" s="1299"/>
      <c r="N18" s="1299"/>
      <c r="O18" s="1299"/>
      <c r="P18" s="318"/>
      <c r="Q18" s="318"/>
      <c r="R18" s="318"/>
      <c r="S18" s="318"/>
      <c r="T18" s="318"/>
    </row>
    <row r="19" spans="1:20" ht="15.75" hidden="1">
      <c r="A19" s="1281"/>
      <c r="B19" s="1281"/>
      <c r="C19" s="1282"/>
      <c r="D19" s="1283"/>
      <c r="E19" s="1284"/>
      <c r="F19" s="1283"/>
      <c r="G19" s="1284"/>
      <c r="H19" s="1285">
        <f t="shared" si="0"/>
        <v>0</v>
      </c>
      <c r="I19" s="1286"/>
      <c r="J19" s="52">
        <f t="shared" si="1"/>
        <v>0</v>
      </c>
      <c r="L19" s="1299"/>
      <c r="M19" s="1299"/>
      <c r="N19" s="1299"/>
      <c r="O19" s="1299"/>
      <c r="P19" s="318"/>
      <c r="Q19" s="318"/>
      <c r="R19" s="318"/>
      <c r="S19" s="318"/>
      <c r="T19" s="318"/>
    </row>
    <row r="20" spans="1:20" ht="15.75" hidden="1">
      <c r="A20" s="1281"/>
      <c r="B20" s="1281"/>
      <c r="C20" s="1282"/>
      <c r="D20" s="1283"/>
      <c r="E20" s="1284"/>
      <c r="F20" s="1283"/>
      <c r="G20" s="1284"/>
      <c r="H20" s="1285">
        <f t="shared" si="0"/>
        <v>0</v>
      </c>
      <c r="I20" s="1286"/>
      <c r="J20" s="52">
        <f t="shared" si="1"/>
        <v>0</v>
      </c>
      <c r="L20" s="1299"/>
      <c r="M20" s="1299"/>
      <c r="N20" s="1299"/>
      <c r="O20" s="1299"/>
      <c r="P20" s="318"/>
      <c r="Q20" s="318"/>
      <c r="R20" s="318"/>
      <c r="S20" s="318"/>
      <c r="T20" s="318"/>
    </row>
    <row r="21" spans="1:20" ht="15.75" hidden="1">
      <c r="A21" s="1281"/>
      <c r="B21" s="1281"/>
      <c r="C21" s="1282"/>
      <c r="D21" s="1283"/>
      <c r="E21" s="1284"/>
      <c r="F21" s="1283"/>
      <c r="G21" s="1284"/>
      <c r="H21" s="1285">
        <f t="shared" si="0"/>
        <v>0</v>
      </c>
      <c r="I21" s="1286"/>
      <c r="J21" s="52">
        <f t="shared" si="1"/>
        <v>0</v>
      </c>
      <c r="L21" s="1299"/>
      <c r="M21" s="1299"/>
      <c r="N21" s="1299"/>
      <c r="O21" s="1299"/>
      <c r="P21" s="318"/>
      <c r="Q21" s="318"/>
      <c r="R21" s="318"/>
      <c r="S21" s="318"/>
      <c r="T21" s="318"/>
    </row>
    <row r="22" spans="1:20" ht="15.75" hidden="1">
      <c r="A22" s="1281"/>
      <c r="B22" s="1281"/>
      <c r="C22" s="1282"/>
      <c r="D22" s="1283"/>
      <c r="E22" s="1284"/>
      <c r="F22" s="1283"/>
      <c r="G22" s="1284"/>
      <c r="H22" s="1285">
        <f t="shared" si="0"/>
        <v>0</v>
      </c>
      <c r="I22" s="1286"/>
      <c r="J22" s="52">
        <f t="shared" si="1"/>
        <v>0</v>
      </c>
      <c r="L22" s="1299"/>
      <c r="M22" s="1299"/>
      <c r="N22" s="1299"/>
      <c r="O22" s="1299"/>
      <c r="P22" s="318"/>
      <c r="Q22" s="318"/>
      <c r="R22" s="318"/>
      <c r="S22" s="318"/>
      <c r="T22" s="318"/>
    </row>
    <row r="23" spans="1:20" ht="15.75" hidden="1">
      <c r="A23" s="1281"/>
      <c r="B23" s="1281"/>
      <c r="C23" s="1282"/>
      <c r="D23" s="1283"/>
      <c r="E23" s="1284"/>
      <c r="F23" s="1283"/>
      <c r="G23" s="1284"/>
      <c r="H23" s="1285">
        <f t="shared" si="0"/>
        <v>0</v>
      </c>
      <c r="I23" s="1286"/>
      <c r="J23" s="52">
        <f t="shared" si="1"/>
        <v>0</v>
      </c>
      <c r="L23" s="1299"/>
      <c r="M23" s="1299"/>
      <c r="N23" s="1299"/>
      <c r="O23" s="1299"/>
      <c r="P23" s="318"/>
      <c r="Q23" s="318"/>
      <c r="R23" s="318"/>
      <c r="S23" s="318"/>
      <c r="T23" s="318"/>
    </row>
    <row r="24" spans="1:20" ht="15.75" hidden="1">
      <c r="A24" s="1281"/>
      <c r="B24" s="1281"/>
      <c r="C24" s="1282"/>
      <c r="D24" s="1283"/>
      <c r="E24" s="1284"/>
      <c r="F24" s="1283"/>
      <c r="G24" s="1284"/>
      <c r="H24" s="1285">
        <f t="shared" si="0"/>
        <v>0</v>
      </c>
      <c r="I24" s="1286"/>
      <c r="J24" s="52">
        <f t="shared" si="1"/>
        <v>0</v>
      </c>
      <c r="L24" s="1299"/>
      <c r="M24" s="1299"/>
      <c r="N24" s="1299"/>
      <c r="O24" s="1299"/>
      <c r="P24" s="318"/>
      <c r="Q24" s="318"/>
      <c r="R24" s="318"/>
      <c r="S24" s="318"/>
      <c r="T24" s="318"/>
    </row>
    <row r="25" spans="1:20" ht="15.75" hidden="1">
      <c r="A25" s="1281"/>
      <c r="B25" s="1281"/>
      <c r="C25" s="1282"/>
      <c r="D25" s="1283"/>
      <c r="E25" s="1284"/>
      <c r="F25" s="1283"/>
      <c r="G25" s="1284"/>
      <c r="H25" s="1285">
        <f t="shared" si="0"/>
        <v>0</v>
      </c>
      <c r="I25" s="1286"/>
      <c r="J25" s="52">
        <f t="shared" si="1"/>
        <v>0</v>
      </c>
      <c r="L25" s="1299"/>
      <c r="M25" s="1299"/>
      <c r="N25" s="1299"/>
      <c r="O25" s="1299"/>
      <c r="P25" s="318"/>
      <c r="Q25" s="318"/>
      <c r="R25" s="318"/>
      <c r="S25" s="318"/>
      <c r="T25" s="318"/>
    </row>
    <row r="26" spans="1:20" ht="15.75" hidden="1">
      <c r="A26" s="1281"/>
      <c r="B26" s="1281"/>
      <c r="C26" s="1282"/>
      <c r="D26" s="1283"/>
      <c r="E26" s="1284"/>
      <c r="F26" s="1283"/>
      <c r="G26" s="1284"/>
      <c r="H26" s="1285">
        <f t="shared" si="0"/>
        <v>0</v>
      </c>
      <c r="I26" s="1286"/>
      <c r="J26" s="52">
        <f t="shared" si="1"/>
        <v>0</v>
      </c>
      <c r="L26" s="1299"/>
      <c r="M26" s="1299"/>
      <c r="N26" s="1299"/>
      <c r="O26" s="1299"/>
      <c r="P26" s="318"/>
      <c r="Q26" s="318"/>
      <c r="R26" s="318"/>
      <c r="S26" s="318"/>
      <c r="T26" s="318"/>
    </row>
    <row r="27" spans="1:20" ht="15.75" hidden="1">
      <c r="A27" s="1281"/>
      <c r="B27" s="1281"/>
      <c r="C27" s="1282"/>
      <c r="D27" s="1283"/>
      <c r="E27" s="1284"/>
      <c r="F27" s="1283"/>
      <c r="G27" s="1284"/>
      <c r="H27" s="1285">
        <f t="shared" si="0"/>
        <v>0</v>
      </c>
      <c r="I27" s="1286"/>
      <c r="J27" s="52">
        <f t="shared" si="1"/>
        <v>0</v>
      </c>
      <c r="L27" s="1299"/>
      <c r="M27" s="1299"/>
      <c r="N27" s="1299"/>
      <c r="O27" s="1299"/>
      <c r="P27" s="318"/>
      <c r="Q27" s="318"/>
      <c r="R27" s="318"/>
      <c r="S27" s="318"/>
      <c r="T27" s="318"/>
    </row>
    <row r="28" spans="1:20" ht="15.75" hidden="1">
      <c r="A28" s="1281"/>
      <c r="B28" s="1281"/>
      <c r="C28" s="1282"/>
      <c r="D28" s="1283"/>
      <c r="E28" s="1284"/>
      <c r="F28" s="1283"/>
      <c r="G28" s="1284"/>
      <c r="H28" s="1285">
        <f t="shared" si="0"/>
        <v>0</v>
      </c>
      <c r="I28" s="1286"/>
      <c r="J28" s="52">
        <f t="shared" si="1"/>
        <v>0</v>
      </c>
      <c r="L28" s="1299"/>
      <c r="M28" s="1299"/>
      <c r="N28" s="1299"/>
      <c r="O28" s="1299"/>
      <c r="P28" s="318"/>
      <c r="Q28" s="318"/>
      <c r="R28" s="318"/>
      <c r="S28" s="318"/>
      <c r="T28" s="318"/>
    </row>
    <row r="29" spans="1:20" ht="15.75" hidden="1">
      <c r="A29" s="1281"/>
      <c r="B29" s="1281"/>
      <c r="C29" s="1282"/>
      <c r="D29" s="1283"/>
      <c r="E29" s="1284"/>
      <c r="F29" s="1283"/>
      <c r="G29" s="1284"/>
      <c r="H29" s="1285">
        <f t="shared" si="0"/>
        <v>0</v>
      </c>
      <c r="I29" s="1286"/>
      <c r="J29" s="52">
        <f t="shared" si="1"/>
        <v>0</v>
      </c>
      <c r="L29" s="1299"/>
      <c r="M29" s="1299"/>
      <c r="N29" s="1299"/>
      <c r="O29" s="1299"/>
      <c r="P29" s="318"/>
      <c r="Q29" s="318"/>
      <c r="R29" s="318"/>
      <c r="S29" s="318"/>
      <c r="T29" s="318"/>
    </row>
    <row r="30" spans="1:20" ht="15.75" hidden="1">
      <c r="A30" s="1281"/>
      <c r="B30" s="1281"/>
      <c r="C30" s="1282"/>
      <c r="D30" s="1283"/>
      <c r="E30" s="1284"/>
      <c r="F30" s="1283"/>
      <c r="G30" s="1284"/>
      <c r="H30" s="1285">
        <f t="shared" si="0"/>
        <v>0</v>
      </c>
      <c r="I30" s="1286"/>
      <c r="J30" s="52">
        <f t="shared" si="1"/>
        <v>0</v>
      </c>
      <c r="L30" s="1299"/>
      <c r="M30" s="1299"/>
      <c r="N30" s="1299"/>
      <c r="O30" s="1299"/>
      <c r="P30" s="318"/>
      <c r="Q30" s="318"/>
      <c r="R30" s="318"/>
      <c r="S30" s="318"/>
      <c r="T30" s="318"/>
    </row>
    <row r="31" spans="1:20" ht="15.75" hidden="1">
      <c r="A31" s="1281"/>
      <c r="B31" s="1281"/>
      <c r="C31" s="1282"/>
      <c r="D31" s="1283"/>
      <c r="E31" s="1284"/>
      <c r="F31" s="1283"/>
      <c r="G31" s="1284"/>
      <c r="H31" s="1285">
        <f t="shared" si="0"/>
        <v>0</v>
      </c>
      <c r="I31" s="1286"/>
      <c r="J31" s="52">
        <f t="shared" si="1"/>
        <v>0</v>
      </c>
      <c r="L31" s="1299"/>
      <c r="M31" s="1299"/>
      <c r="N31" s="1299"/>
      <c r="O31" s="1299"/>
      <c r="P31" s="318"/>
      <c r="Q31" s="318"/>
      <c r="R31" s="318"/>
      <c r="S31" s="318"/>
      <c r="T31" s="318"/>
    </row>
    <row r="32" spans="1:20" ht="15.75" hidden="1">
      <c r="A32" s="1281"/>
      <c r="B32" s="1281"/>
      <c r="C32" s="1282"/>
      <c r="D32" s="1283"/>
      <c r="E32" s="1284"/>
      <c r="F32" s="1283"/>
      <c r="G32" s="1284"/>
      <c r="H32" s="1285">
        <f t="shared" si="0"/>
        <v>0</v>
      </c>
      <c r="I32" s="1286"/>
      <c r="J32" s="52">
        <f t="shared" si="1"/>
        <v>0</v>
      </c>
      <c r="L32" s="1299"/>
      <c r="M32" s="1299"/>
      <c r="N32" s="1299"/>
      <c r="O32" s="1299"/>
      <c r="P32" s="318"/>
      <c r="Q32" s="318"/>
      <c r="R32" s="318"/>
      <c r="S32" s="318"/>
      <c r="T32" s="318"/>
    </row>
    <row r="33" spans="1:20" ht="15.75" hidden="1">
      <c r="A33" s="1281"/>
      <c r="B33" s="1281"/>
      <c r="C33" s="1282"/>
      <c r="D33" s="1283"/>
      <c r="E33" s="1284"/>
      <c r="F33" s="1283"/>
      <c r="G33" s="1284"/>
      <c r="H33" s="1285">
        <f t="shared" si="0"/>
        <v>0</v>
      </c>
      <c r="I33" s="1286"/>
      <c r="J33" s="52">
        <f t="shared" si="1"/>
        <v>0</v>
      </c>
      <c r="L33" s="1299"/>
      <c r="M33" s="1299"/>
      <c r="N33" s="1299"/>
      <c r="O33" s="1299"/>
      <c r="P33" s="318"/>
      <c r="Q33" s="318"/>
      <c r="R33" s="318"/>
      <c r="S33" s="318"/>
      <c r="T33" s="318"/>
    </row>
    <row r="34" spans="1:20" ht="15.75" hidden="1">
      <c r="A34" s="1281"/>
      <c r="B34" s="1281"/>
      <c r="C34" s="1282"/>
      <c r="D34" s="1283"/>
      <c r="E34" s="1284"/>
      <c r="F34" s="1283"/>
      <c r="G34" s="1284"/>
      <c r="H34" s="1285">
        <f t="shared" si="0"/>
        <v>0</v>
      </c>
      <c r="I34" s="1286"/>
      <c r="J34" s="52">
        <f t="shared" si="1"/>
        <v>0</v>
      </c>
      <c r="L34" s="1299"/>
      <c r="M34" s="1299"/>
      <c r="N34" s="1299"/>
      <c r="O34" s="1299"/>
      <c r="P34" s="318"/>
      <c r="Q34" s="318"/>
      <c r="R34" s="318"/>
      <c r="S34" s="318"/>
      <c r="T34" s="318"/>
    </row>
    <row r="35" spans="1:20" ht="15.75" hidden="1">
      <c r="A35" s="1281"/>
      <c r="B35" s="1281"/>
      <c r="C35" s="1282"/>
      <c r="D35" s="1283"/>
      <c r="E35" s="1284"/>
      <c r="F35" s="1283"/>
      <c r="G35" s="1284"/>
      <c r="H35" s="1285">
        <f t="shared" si="0"/>
        <v>0</v>
      </c>
      <c r="I35" s="1286"/>
      <c r="J35" s="52">
        <f t="shared" si="1"/>
        <v>0</v>
      </c>
      <c r="L35" s="1299"/>
      <c r="M35" s="1299"/>
      <c r="N35" s="1299"/>
      <c r="O35" s="1299"/>
      <c r="P35" s="318"/>
      <c r="Q35" s="318"/>
      <c r="R35" s="318"/>
      <c r="S35" s="318"/>
      <c r="T35" s="318"/>
    </row>
    <row r="36" spans="1:20" ht="15.75" hidden="1">
      <c r="A36" s="1281"/>
      <c r="B36" s="1281"/>
      <c r="C36" s="1282"/>
      <c r="D36" s="1283"/>
      <c r="E36" s="1284"/>
      <c r="F36" s="1283"/>
      <c r="G36" s="1284"/>
      <c r="H36" s="1285">
        <f t="shared" si="0"/>
        <v>0</v>
      </c>
      <c r="I36" s="1286"/>
      <c r="J36" s="52">
        <f t="shared" si="1"/>
        <v>0</v>
      </c>
      <c r="L36" s="1299"/>
      <c r="M36" s="1299"/>
      <c r="N36" s="1299"/>
      <c r="O36" s="1299"/>
      <c r="P36" s="318"/>
      <c r="Q36" s="318"/>
      <c r="R36" s="318"/>
      <c r="S36" s="318"/>
      <c r="T36" s="318"/>
    </row>
    <row r="37" spans="1:20" ht="15.75" hidden="1">
      <c r="A37" s="1281"/>
      <c r="B37" s="1281"/>
      <c r="C37" s="1282"/>
      <c r="D37" s="1283"/>
      <c r="E37" s="1284"/>
      <c r="F37" s="1283"/>
      <c r="G37" s="1284"/>
      <c r="H37" s="1285">
        <f t="shared" si="0"/>
        <v>0</v>
      </c>
      <c r="I37" s="1286"/>
      <c r="J37" s="52">
        <f t="shared" si="1"/>
        <v>0</v>
      </c>
      <c r="L37" s="1299"/>
      <c r="M37" s="1299"/>
      <c r="N37" s="1299"/>
      <c r="O37" s="1299"/>
      <c r="P37" s="318"/>
      <c r="Q37" s="318"/>
      <c r="R37" s="318"/>
      <c r="S37" s="318"/>
      <c r="T37" s="318"/>
    </row>
    <row r="38" spans="1:20" ht="15.75" hidden="1">
      <c r="A38" s="1281"/>
      <c r="B38" s="1281"/>
      <c r="C38" s="1282"/>
      <c r="D38" s="1283"/>
      <c r="E38" s="1284"/>
      <c r="F38" s="1283"/>
      <c r="G38" s="1284"/>
      <c r="H38" s="1285">
        <f t="shared" si="0"/>
        <v>0</v>
      </c>
      <c r="I38" s="1286"/>
      <c r="J38" s="52">
        <f t="shared" si="1"/>
        <v>0</v>
      </c>
      <c r="L38" s="1299"/>
      <c r="M38" s="1299"/>
      <c r="N38" s="1299"/>
      <c r="O38" s="1299"/>
      <c r="P38" s="318"/>
      <c r="Q38" s="318"/>
      <c r="R38" s="318"/>
      <c r="S38" s="318"/>
      <c r="T38" s="318"/>
    </row>
    <row r="39" spans="1:20" ht="15.75" hidden="1">
      <c r="A39" s="1281"/>
      <c r="B39" s="1281"/>
      <c r="C39" s="1282"/>
      <c r="D39" s="1283"/>
      <c r="E39" s="1284"/>
      <c r="F39" s="1283"/>
      <c r="G39" s="1284"/>
      <c r="H39" s="1285">
        <f t="shared" si="0"/>
        <v>0</v>
      </c>
      <c r="I39" s="1286"/>
      <c r="J39" s="52">
        <f t="shared" si="1"/>
        <v>0</v>
      </c>
      <c r="L39" s="1299"/>
      <c r="M39" s="1299"/>
      <c r="N39" s="1299"/>
      <c r="O39" s="1299"/>
      <c r="P39" s="318"/>
      <c r="Q39" s="318"/>
      <c r="R39" s="318"/>
      <c r="S39" s="318"/>
      <c r="T39" s="318"/>
    </row>
    <row r="40" spans="1:20" ht="15.75" hidden="1">
      <c r="A40" s="1281"/>
      <c r="B40" s="1281"/>
      <c r="C40" s="1282"/>
      <c r="D40" s="1283"/>
      <c r="E40" s="1284"/>
      <c r="F40" s="1283"/>
      <c r="G40" s="1284"/>
      <c r="H40" s="1285">
        <f t="shared" si="0"/>
        <v>0</v>
      </c>
      <c r="I40" s="1286"/>
      <c r="J40" s="52">
        <f t="shared" si="1"/>
        <v>0</v>
      </c>
      <c r="L40" s="1299"/>
      <c r="M40" s="1299"/>
      <c r="N40" s="1299"/>
      <c r="O40" s="1299"/>
      <c r="P40" s="318"/>
      <c r="Q40" s="318"/>
      <c r="R40" s="318"/>
      <c r="S40" s="318"/>
      <c r="T40" s="318"/>
    </row>
    <row r="41" spans="1:20" ht="15.75" hidden="1">
      <c r="A41" s="1281"/>
      <c r="B41" s="1281"/>
      <c r="C41" s="1282"/>
      <c r="D41" s="1283"/>
      <c r="E41" s="1284"/>
      <c r="F41" s="1283"/>
      <c r="G41" s="1284"/>
      <c r="H41" s="1285">
        <f t="shared" si="0"/>
        <v>0</v>
      </c>
      <c r="I41" s="1286"/>
      <c r="J41" s="52">
        <f t="shared" si="1"/>
        <v>0</v>
      </c>
      <c r="L41" s="1299"/>
      <c r="M41" s="1299"/>
      <c r="N41" s="1299"/>
      <c r="O41" s="1299"/>
      <c r="P41" s="318"/>
      <c r="Q41" s="318"/>
      <c r="R41" s="318"/>
      <c r="S41" s="318"/>
      <c r="T41" s="318"/>
    </row>
    <row r="42" spans="1:20" ht="15.75" hidden="1">
      <c r="A42" s="1281"/>
      <c r="B42" s="1281"/>
      <c r="C42" s="1282"/>
      <c r="D42" s="1283"/>
      <c r="E42" s="1284"/>
      <c r="F42" s="1283"/>
      <c r="G42" s="1284"/>
      <c r="H42" s="1285">
        <f t="shared" si="0"/>
        <v>0</v>
      </c>
      <c r="I42" s="1286"/>
      <c r="J42" s="52">
        <f t="shared" si="1"/>
        <v>0</v>
      </c>
      <c r="L42" s="1299"/>
      <c r="M42" s="1299"/>
      <c r="N42" s="1299"/>
      <c r="O42" s="1299"/>
      <c r="P42" s="318"/>
      <c r="Q42" s="318"/>
      <c r="R42" s="318"/>
      <c r="S42" s="318"/>
      <c r="T42" s="318"/>
    </row>
    <row r="43" spans="1:20" ht="15.75" hidden="1">
      <c r="A43" s="1281"/>
      <c r="B43" s="1281"/>
      <c r="C43" s="1282"/>
      <c r="D43" s="1283"/>
      <c r="E43" s="1284"/>
      <c r="F43" s="1283"/>
      <c r="G43" s="1284"/>
      <c r="H43" s="1285">
        <f t="shared" si="0"/>
        <v>0</v>
      </c>
      <c r="I43" s="1286"/>
      <c r="J43" s="52">
        <f t="shared" si="1"/>
        <v>0</v>
      </c>
      <c r="L43" s="1299"/>
      <c r="M43" s="1299"/>
      <c r="N43" s="1299"/>
      <c r="O43" s="1299"/>
      <c r="P43" s="318"/>
      <c r="Q43" s="318"/>
      <c r="R43" s="318"/>
      <c r="S43" s="318"/>
      <c r="T43" s="318"/>
    </row>
    <row r="44" spans="1:20" ht="15.75" hidden="1">
      <c r="A44" s="1281"/>
      <c r="B44" s="1281"/>
      <c r="C44" s="1282"/>
      <c r="D44" s="1283"/>
      <c r="E44" s="1284"/>
      <c r="F44" s="1283"/>
      <c r="G44" s="1284"/>
      <c r="H44" s="1285">
        <f t="shared" si="0"/>
        <v>0</v>
      </c>
      <c r="I44" s="1286"/>
      <c r="J44" s="52">
        <f t="shared" si="1"/>
        <v>0</v>
      </c>
      <c r="L44" s="1299"/>
      <c r="M44" s="1299"/>
      <c r="N44" s="1299"/>
      <c r="O44" s="1299"/>
      <c r="P44" s="318"/>
      <c r="Q44" s="318"/>
      <c r="R44" s="318"/>
      <c r="S44" s="318"/>
      <c r="T44" s="318"/>
    </row>
    <row r="45" spans="1:20" ht="15.75" hidden="1">
      <c r="A45" s="1281"/>
      <c r="B45" s="1281"/>
      <c r="C45" s="1282"/>
      <c r="D45" s="1283"/>
      <c r="E45" s="1284"/>
      <c r="F45" s="1283"/>
      <c r="G45" s="1284"/>
      <c r="H45" s="1285">
        <f t="shared" si="0"/>
        <v>0</v>
      </c>
      <c r="I45" s="1286"/>
      <c r="J45" s="52">
        <f t="shared" si="1"/>
        <v>0</v>
      </c>
      <c r="L45" s="1299"/>
      <c r="M45" s="1299"/>
      <c r="N45" s="1299"/>
      <c r="O45" s="1299"/>
      <c r="P45" s="318"/>
      <c r="Q45" s="318"/>
      <c r="R45" s="318"/>
      <c r="S45" s="318"/>
      <c r="T45" s="318"/>
    </row>
    <row r="46" spans="1:20" ht="15.75" hidden="1">
      <c r="A46" s="1281"/>
      <c r="B46" s="1281"/>
      <c r="C46" s="1282"/>
      <c r="D46" s="1283"/>
      <c r="E46" s="1284"/>
      <c r="F46" s="1283"/>
      <c r="G46" s="1284"/>
      <c r="H46" s="1285">
        <f t="shared" si="0"/>
        <v>0</v>
      </c>
      <c r="I46" s="1286"/>
      <c r="J46" s="52">
        <f t="shared" si="1"/>
        <v>0</v>
      </c>
      <c r="L46" s="1299"/>
      <c r="M46" s="1299"/>
      <c r="N46" s="1299"/>
      <c r="O46" s="1299"/>
      <c r="P46" s="318"/>
      <c r="Q46" s="318"/>
      <c r="R46" s="318"/>
      <c r="S46" s="318"/>
      <c r="T46" s="318"/>
    </row>
    <row r="47" spans="1:20" ht="15.75" hidden="1">
      <c r="A47" s="1281"/>
      <c r="B47" s="1281"/>
      <c r="C47" s="1282"/>
      <c r="D47" s="1283"/>
      <c r="E47" s="1284"/>
      <c r="F47" s="1283"/>
      <c r="G47" s="1284"/>
      <c r="H47" s="1285">
        <f t="shared" si="0"/>
        <v>0</v>
      </c>
      <c r="I47" s="1286"/>
      <c r="J47" s="52">
        <f t="shared" si="1"/>
        <v>0</v>
      </c>
      <c r="L47" s="1299"/>
      <c r="M47" s="1299"/>
      <c r="N47" s="1299"/>
      <c r="O47" s="1299"/>
      <c r="P47" s="318"/>
      <c r="Q47" s="318"/>
      <c r="R47" s="318"/>
      <c r="S47" s="318"/>
      <c r="T47" s="318"/>
    </row>
    <row r="48" spans="1:20" ht="15.75" hidden="1">
      <c r="A48" s="1281"/>
      <c r="B48" s="1281"/>
      <c r="C48" s="1282"/>
      <c r="D48" s="1283"/>
      <c r="E48" s="1284"/>
      <c r="F48" s="1283"/>
      <c r="G48" s="1284"/>
      <c r="H48" s="1285">
        <f t="shared" si="0"/>
        <v>0</v>
      </c>
      <c r="I48" s="1286"/>
      <c r="J48" s="52">
        <f t="shared" si="1"/>
        <v>0</v>
      </c>
      <c r="L48" s="1299"/>
      <c r="M48" s="1299"/>
      <c r="N48" s="1299"/>
      <c r="O48" s="1299"/>
      <c r="P48" s="318"/>
      <c r="Q48" s="318"/>
      <c r="R48" s="318"/>
      <c r="S48" s="318"/>
      <c r="T48" s="318"/>
    </row>
    <row r="49" spans="1:20" ht="15.75" hidden="1">
      <c r="A49" s="1281"/>
      <c r="B49" s="1281"/>
      <c r="C49" s="1282"/>
      <c r="D49" s="1283"/>
      <c r="E49" s="1284"/>
      <c r="F49" s="1283"/>
      <c r="G49" s="1284"/>
      <c r="H49" s="1285">
        <f t="shared" si="0"/>
        <v>0</v>
      </c>
      <c r="I49" s="1286"/>
      <c r="J49" s="52">
        <f t="shared" si="1"/>
        <v>0</v>
      </c>
      <c r="L49" s="1299"/>
      <c r="M49" s="1299"/>
      <c r="N49" s="1299"/>
      <c r="O49" s="1299"/>
      <c r="P49" s="318"/>
      <c r="Q49" s="318"/>
      <c r="R49" s="318"/>
      <c r="S49" s="318"/>
      <c r="T49" s="318"/>
    </row>
    <row r="50" spans="1:20" ht="15.75" hidden="1">
      <c r="A50" s="1281"/>
      <c r="B50" s="1281"/>
      <c r="C50" s="1282"/>
      <c r="D50" s="1283"/>
      <c r="E50" s="1284"/>
      <c r="F50" s="1283"/>
      <c r="G50" s="1284"/>
      <c r="H50" s="1285">
        <f t="shared" si="0"/>
        <v>0</v>
      </c>
      <c r="I50" s="1286"/>
      <c r="J50" s="52">
        <f t="shared" si="1"/>
        <v>0</v>
      </c>
      <c r="L50" s="1299"/>
      <c r="M50" s="1299"/>
      <c r="N50" s="1299"/>
      <c r="O50" s="1299"/>
      <c r="P50" s="318"/>
      <c r="Q50" s="318"/>
      <c r="R50" s="318"/>
      <c r="S50" s="318"/>
      <c r="T50" s="318"/>
    </row>
    <row r="51" spans="1:20" ht="15.75" hidden="1">
      <c r="A51" s="1281"/>
      <c r="B51" s="1281"/>
      <c r="C51" s="1282"/>
      <c r="D51" s="1283"/>
      <c r="E51" s="1284"/>
      <c r="F51" s="1283"/>
      <c r="G51" s="1284"/>
      <c r="H51" s="1285">
        <f t="shared" si="0"/>
        <v>0</v>
      </c>
      <c r="I51" s="1286"/>
      <c r="J51" s="52">
        <f t="shared" si="1"/>
        <v>0</v>
      </c>
      <c r="L51" s="1299"/>
      <c r="M51" s="1299"/>
      <c r="N51" s="1299"/>
      <c r="O51" s="1299"/>
      <c r="P51" s="318"/>
      <c r="Q51" s="318"/>
      <c r="R51" s="318"/>
      <c r="S51" s="318"/>
      <c r="T51" s="318"/>
    </row>
    <row r="52" spans="1:20" ht="15.75" hidden="1">
      <c r="A52" s="1281"/>
      <c r="B52" s="1281"/>
      <c r="C52" s="1282"/>
      <c r="D52" s="1283"/>
      <c r="E52" s="1284"/>
      <c r="F52" s="1283"/>
      <c r="G52" s="1284"/>
      <c r="H52" s="1285">
        <f t="shared" si="0"/>
        <v>0</v>
      </c>
      <c r="I52" s="1286"/>
      <c r="J52" s="52">
        <f t="shared" si="1"/>
        <v>0</v>
      </c>
      <c r="L52" s="1299"/>
      <c r="M52" s="1299"/>
      <c r="N52" s="1299"/>
      <c r="O52" s="1299"/>
      <c r="P52" s="318"/>
      <c r="Q52" s="318"/>
      <c r="R52" s="318"/>
      <c r="S52" s="318"/>
      <c r="T52" s="318"/>
    </row>
    <row r="53" spans="1:20" ht="15.75" hidden="1">
      <c r="A53" s="1281"/>
      <c r="B53" s="1281"/>
      <c r="C53" s="1282"/>
      <c r="D53" s="1283"/>
      <c r="E53" s="1284"/>
      <c r="F53" s="1283"/>
      <c r="G53" s="1284"/>
      <c r="H53" s="1285">
        <f t="shared" si="0"/>
        <v>0</v>
      </c>
      <c r="I53" s="1286"/>
      <c r="J53" s="52">
        <f t="shared" si="1"/>
        <v>0</v>
      </c>
      <c r="L53" s="1299"/>
      <c r="M53" s="1299"/>
      <c r="N53" s="1299"/>
      <c r="O53" s="1299"/>
      <c r="P53" s="318"/>
      <c r="Q53" s="318"/>
      <c r="R53" s="318"/>
      <c r="S53" s="318"/>
      <c r="T53" s="318"/>
    </row>
    <row r="54" spans="1:20" ht="15.75" hidden="1">
      <c r="A54" s="1281"/>
      <c r="B54" s="1281"/>
      <c r="C54" s="1282"/>
      <c r="D54" s="1283"/>
      <c r="E54" s="1284"/>
      <c r="F54" s="1283"/>
      <c r="G54" s="1284"/>
      <c r="H54" s="1285">
        <f t="shared" si="0"/>
        <v>0</v>
      </c>
      <c r="I54" s="1286"/>
      <c r="J54" s="52">
        <f t="shared" si="1"/>
        <v>0</v>
      </c>
      <c r="L54" s="1299"/>
      <c r="M54" s="1299"/>
      <c r="N54" s="1299"/>
      <c r="O54" s="1299"/>
      <c r="P54" s="318"/>
      <c r="Q54" s="318"/>
      <c r="R54" s="318"/>
      <c r="S54" s="318"/>
      <c r="T54" s="318"/>
    </row>
    <row r="55" spans="1:20" ht="15.75" hidden="1">
      <c r="A55" s="1281"/>
      <c r="B55" s="1281"/>
      <c r="C55" s="1282"/>
      <c r="D55" s="1283"/>
      <c r="E55" s="1284"/>
      <c r="F55" s="1283"/>
      <c r="G55" s="1284"/>
      <c r="H55" s="1285">
        <f t="shared" si="0"/>
        <v>0</v>
      </c>
      <c r="I55" s="1286"/>
      <c r="J55" s="52">
        <f t="shared" si="1"/>
        <v>0</v>
      </c>
      <c r="L55" s="1299"/>
      <c r="M55" s="1299"/>
      <c r="N55" s="1299"/>
      <c r="O55" s="1299"/>
      <c r="P55" s="318"/>
      <c r="Q55" s="318"/>
      <c r="R55" s="318"/>
      <c r="S55" s="318"/>
      <c r="T55" s="318"/>
    </row>
    <row r="56" spans="1:20" ht="15.75" hidden="1">
      <c r="A56" s="1281"/>
      <c r="B56" s="1281"/>
      <c r="C56" s="1282"/>
      <c r="D56" s="1283"/>
      <c r="E56" s="1284"/>
      <c r="F56" s="1283"/>
      <c r="G56" s="1284"/>
      <c r="H56" s="1285">
        <f t="shared" si="0"/>
        <v>0</v>
      </c>
      <c r="I56" s="1286"/>
      <c r="J56" s="52">
        <f t="shared" si="1"/>
        <v>0</v>
      </c>
      <c r="L56" s="1299"/>
      <c r="M56" s="1299"/>
      <c r="N56" s="1299"/>
      <c r="O56" s="1299"/>
      <c r="P56" s="318"/>
      <c r="Q56" s="318"/>
      <c r="R56" s="318"/>
      <c r="S56" s="318"/>
      <c r="T56" s="318"/>
    </row>
    <row r="57" spans="1:20" ht="15.75" hidden="1">
      <c r="A57" s="1281"/>
      <c r="B57" s="1281"/>
      <c r="C57" s="1282"/>
      <c r="D57" s="1283"/>
      <c r="E57" s="1284"/>
      <c r="F57" s="1283"/>
      <c r="G57" s="1284"/>
      <c r="H57" s="1285">
        <f t="shared" si="0"/>
        <v>0</v>
      </c>
      <c r="I57" s="1286"/>
      <c r="J57" s="52">
        <f t="shared" si="1"/>
        <v>0</v>
      </c>
      <c r="L57" s="1299"/>
      <c r="M57" s="1299"/>
      <c r="N57" s="1299"/>
      <c r="O57" s="1299"/>
      <c r="P57" s="318"/>
      <c r="Q57" s="318"/>
      <c r="R57" s="318"/>
      <c r="S57" s="318"/>
      <c r="T57" s="318"/>
    </row>
    <row r="58" spans="1:20" ht="15.75" hidden="1">
      <c r="A58" s="1281"/>
      <c r="B58" s="1281"/>
      <c r="C58" s="1282"/>
      <c r="D58" s="1283"/>
      <c r="E58" s="1284"/>
      <c r="F58" s="1283"/>
      <c r="G58" s="1284"/>
      <c r="H58" s="1285">
        <f t="shared" si="0"/>
        <v>0</v>
      </c>
      <c r="I58" s="1286"/>
      <c r="J58" s="52">
        <f t="shared" si="1"/>
        <v>0</v>
      </c>
      <c r="L58" s="1299"/>
      <c r="M58" s="1299"/>
      <c r="N58" s="1299"/>
      <c r="O58" s="1299"/>
      <c r="P58" s="318"/>
      <c r="Q58" s="318"/>
      <c r="R58" s="318"/>
      <c r="S58" s="318"/>
      <c r="T58" s="318"/>
    </row>
    <row r="59" spans="1:20" ht="15.75" hidden="1">
      <c r="A59" s="1281"/>
      <c r="B59" s="1281"/>
      <c r="C59" s="1282"/>
      <c r="D59" s="1283"/>
      <c r="E59" s="1284"/>
      <c r="F59" s="1283"/>
      <c r="G59" s="1284"/>
      <c r="H59" s="1285">
        <f t="shared" si="0"/>
        <v>0</v>
      </c>
      <c r="I59" s="1286"/>
      <c r="J59" s="52">
        <f t="shared" si="1"/>
        <v>0</v>
      </c>
      <c r="L59" s="1299"/>
      <c r="M59" s="1299"/>
      <c r="N59" s="1299"/>
      <c r="O59" s="1299"/>
      <c r="P59" s="318"/>
      <c r="Q59" s="318"/>
      <c r="R59" s="318"/>
      <c r="S59" s="318"/>
      <c r="T59" s="318"/>
    </row>
    <row r="60" spans="1:20" ht="15.75" hidden="1">
      <c r="A60" s="1281"/>
      <c r="B60" s="1281"/>
      <c r="C60" s="1282"/>
      <c r="D60" s="1283"/>
      <c r="E60" s="1284"/>
      <c r="F60" s="1283"/>
      <c r="G60" s="1284"/>
      <c r="H60" s="1285">
        <f t="shared" si="0"/>
        <v>0</v>
      </c>
      <c r="I60" s="1286"/>
      <c r="J60" s="52">
        <f t="shared" si="1"/>
        <v>0</v>
      </c>
      <c r="L60" s="1299"/>
      <c r="M60" s="1299"/>
      <c r="N60" s="1299"/>
      <c r="O60" s="1299"/>
      <c r="P60" s="318"/>
      <c r="Q60" s="318"/>
      <c r="R60" s="318"/>
      <c r="S60" s="318"/>
      <c r="T60" s="318"/>
    </row>
    <row r="61" spans="1:20" ht="15.75" hidden="1">
      <c r="A61" s="1281"/>
      <c r="B61" s="1281"/>
      <c r="C61" s="1282"/>
      <c r="D61" s="1283"/>
      <c r="E61" s="1284"/>
      <c r="F61" s="1283"/>
      <c r="G61" s="1284"/>
      <c r="H61" s="1285">
        <f t="shared" si="0"/>
        <v>0</v>
      </c>
      <c r="I61" s="1286"/>
      <c r="J61" s="52">
        <f t="shared" si="1"/>
        <v>0</v>
      </c>
      <c r="L61" s="1299"/>
      <c r="M61" s="1299"/>
      <c r="N61" s="1299"/>
      <c r="O61" s="1299"/>
      <c r="P61" s="318"/>
      <c r="Q61" s="318"/>
      <c r="R61" s="318"/>
      <c r="S61" s="318"/>
      <c r="T61" s="318"/>
    </row>
    <row r="62" spans="1:20" ht="15.75" hidden="1">
      <c r="A62" s="1281"/>
      <c r="B62" s="1281"/>
      <c r="C62" s="1282"/>
      <c r="D62" s="1283"/>
      <c r="E62" s="1284"/>
      <c r="F62" s="1283"/>
      <c r="G62" s="1284"/>
      <c r="H62" s="1285">
        <f t="shared" si="0"/>
        <v>0</v>
      </c>
      <c r="I62" s="1286"/>
      <c r="J62" s="52">
        <f t="shared" si="1"/>
        <v>0</v>
      </c>
      <c r="L62" s="1299"/>
      <c r="M62" s="1299"/>
      <c r="N62" s="1299"/>
      <c r="O62" s="1299"/>
      <c r="P62" s="318"/>
      <c r="Q62" s="318"/>
      <c r="R62" s="318"/>
      <c r="S62" s="318"/>
      <c r="T62" s="318"/>
    </row>
    <row r="63" spans="1:20" ht="15.75" hidden="1">
      <c r="A63" s="1281"/>
      <c r="B63" s="1281"/>
      <c r="C63" s="1282"/>
      <c r="D63" s="1283"/>
      <c r="E63" s="1284"/>
      <c r="F63" s="1283"/>
      <c r="G63" s="1284"/>
      <c r="H63" s="1285">
        <f t="shared" si="0"/>
        <v>0</v>
      </c>
      <c r="I63" s="1286"/>
      <c r="J63" s="52">
        <f t="shared" si="1"/>
        <v>0</v>
      </c>
      <c r="L63" s="1299"/>
      <c r="M63" s="1299"/>
      <c r="N63" s="1299"/>
      <c r="O63" s="1299"/>
      <c r="P63" s="318"/>
      <c r="Q63" s="318"/>
      <c r="R63" s="318"/>
      <c r="S63" s="318"/>
      <c r="T63" s="318"/>
    </row>
    <row r="64" spans="1:20" ht="15.75" hidden="1">
      <c r="A64" s="1281"/>
      <c r="B64" s="1281"/>
      <c r="C64" s="1282"/>
      <c r="D64" s="1283"/>
      <c r="E64" s="1284"/>
      <c r="F64" s="1283"/>
      <c r="G64" s="1284"/>
      <c r="H64" s="1285">
        <f t="shared" si="0"/>
        <v>0</v>
      </c>
      <c r="I64" s="1286"/>
      <c r="J64" s="52">
        <f t="shared" si="1"/>
        <v>0</v>
      </c>
      <c r="L64" s="1299"/>
      <c r="M64" s="1299"/>
      <c r="N64" s="1299"/>
      <c r="O64" s="1299"/>
      <c r="P64" s="318"/>
      <c r="Q64" s="318"/>
      <c r="R64" s="318"/>
      <c r="S64" s="318"/>
      <c r="T64" s="318"/>
    </row>
    <row r="65" spans="1:20" ht="15.75" hidden="1">
      <c r="A65" s="1281"/>
      <c r="B65" s="1281"/>
      <c r="C65" s="1282"/>
      <c r="D65" s="1283"/>
      <c r="E65" s="1284"/>
      <c r="F65" s="1283"/>
      <c r="G65" s="1284"/>
      <c r="H65" s="1285">
        <f t="shared" si="0"/>
        <v>0</v>
      </c>
      <c r="I65" s="1286"/>
      <c r="J65" s="52">
        <f t="shared" si="1"/>
        <v>0</v>
      </c>
      <c r="L65" s="1299"/>
      <c r="M65" s="1299"/>
      <c r="N65" s="1299"/>
      <c r="O65" s="1299"/>
      <c r="P65" s="318"/>
      <c r="Q65" s="318"/>
      <c r="R65" s="318"/>
      <c r="S65" s="318"/>
      <c r="T65" s="318"/>
    </row>
    <row r="66" spans="1:20" ht="15.75" hidden="1">
      <c r="A66" s="1281"/>
      <c r="B66" s="1281"/>
      <c r="C66" s="1282"/>
      <c r="D66" s="1283"/>
      <c r="E66" s="1284"/>
      <c r="F66" s="1283"/>
      <c r="G66" s="1284"/>
      <c r="H66" s="1285">
        <f t="shared" si="0"/>
        <v>0</v>
      </c>
      <c r="I66" s="1286"/>
      <c r="J66" s="52">
        <f t="shared" si="1"/>
        <v>0</v>
      </c>
      <c r="L66" s="1299"/>
      <c r="M66" s="1299"/>
      <c r="N66" s="1299"/>
      <c r="O66" s="1299"/>
      <c r="P66" s="318"/>
      <c r="Q66" s="318"/>
      <c r="R66" s="318"/>
      <c r="S66" s="318"/>
      <c r="T66" s="318"/>
    </row>
    <row r="67" spans="1:20" ht="15.75" hidden="1">
      <c r="A67" s="1281"/>
      <c r="B67" s="1281"/>
      <c r="C67" s="1282"/>
      <c r="D67" s="1283"/>
      <c r="E67" s="1284"/>
      <c r="F67" s="1283"/>
      <c r="G67" s="1284"/>
      <c r="H67" s="1285">
        <f t="shared" si="0"/>
        <v>0</v>
      </c>
      <c r="I67" s="1286"/>
      <c r="J67" s="52">
        <f t="shared" si="1"/>
        <v>0</v>
      </c>
      <c r="L67" s="1299"/>
      <c r="M67" s="1299"/>
      <c r="N67" s="1299"/>
      <c r="O67" s="1299"/>
      <c r="P67" s="318"/>
      <c r="Q67" s="318"/>
      <c r="R67" s="318"/>
      <c r="S67" s="318"/>
      <c r="T67" s="318"/>
    </row>
    <row r="68" spans="1:20" ht="15.75" hidden="1">
      <c r="A68" s="1281"/>
      <c r="B68" s="1281"/>
      <c r="C68" s="1282"/>
      <c r="D68" s="1283"/>
      <c r="E68" s="1284"/>
      <c r="F68" s="1283"/>
      <c r="G68" s="1284"/>
      <c r="H68" s="1285">
        <f t="shared" si="0"/>
        <v>0</v>
      </c>
      <c r="I68" s="1286"/>
      <c r="J68" s="52">
        <f t="shared" si="1"/>
        <v>0</v>
      </c>
      <c r="L68" s="1299"/>
      <c r="M68" s="1299"/>
      <c r="N68" s="1299"/>
      <c r="O68" s="1299"/>
      <c r="P68" s="318"/>
      <c r="Q68" s="318"/>
      <c r="R68" s="318"/>
      <c r="S68" s="318"/>
      <c r="T68" s="318"/>
    </row>
    <row r="69" spans="1:20" ht="15.75" hidden="1">
      <c r="A69" s="1281"/>
      <c r="B69" s="1281"/>
      <c r="C69" s="1282"/>
      <c r="D69" s="1283"/>
      <c r="E69" s="1284"/>
      <c r="F69" s="1283"/>
      <c r="G69" s="1284"/>
      <c r="H69" s="1285">
        <f t="shared" si="0"/>
        <v>0</v>
      </c>
      <c r="I69" s="1286"/>
      <c r="J69" s="52">
        <f t="shared" si="1"/>
        <v>0</v>
      </c>
      <c r="L69" s="1299"/>
      <c r="M69" s="1299"/>
      <c r="N69" s="1299"/>
      <c r="O69" s="1299"/>
      <c r="P69" s="318"/>
      <c r="Q69" s="318"/>
      <c r="R69" s="318"/>
      <c r="S69" s="318"/>
      <c r="T69" s="318"/>
    </row>
    <row r="70" spans="1:20" ht="15.75" hidden="1">
      <c r="A70" s="1281"/>
      <c r="B70" s="1281"/>
      <c r="C70" s="1282"/>
      <c r="D70" s="1283"/>
      <c r="E70" s="1284"/>
      <c r="F70" s="1283"/>
      <c r="G70" s="1284"/>
      <c r="H70" s="1285">
        <f t="shared" si="0"/>
        <v>0</v>
      </c>
      <c r="I70" s="1286"/>
      <c r="J70" s="52">
        <f t="shared" si="1"/>
        <v>0</v>
      </c>
      <c r="L70" s="1299"/>
      <c r="M70" s="1299"/>
      <c r="N70" s="1299"/>
      <c r="O70" s="1299"/>
      <c r="P70" s="318"/>
      <c r="Q70" s="318"/>
      <c r="R70" s="318"/>
      <c r="S70" s="318"/>
      <c r="T70" s="318"/>
    </row>
    <row r="71" spans="1:20" ht="15.75" hidden="1">
      <c r="A71" s="1281"/>
      <c r="B71" s="1281"/>
      <c r="C71" s="1282"/>
      <c r="D71" s="1283"/>
      <c r="E71" s="1284"/>
      <c r="F71" s="1283"/>
      <c r="G71" s="1284"/>
      <c r="H71" s="1285">
        <f t="shared" si="0"/>
        <v>0</v>
      </c>
      <c r="I71" s="1286"/>
      <c r="J71" s="52">
        <f t="shared" si="1"/>
        <v>0</v>
      </c>
      <c r="L71" s="1299"/>
      <c r="M71" s="1299"/>
      <c r="N71" s="1299"/>
      <c r="O71" s="1299"/>
      <c r="P71" s="318"/>
      <c r="Q71" s="318"/>
      <c r="R71" s="318"/>
      <c r="S71" s="318"/>
      <c r="T71" s="318"/>
    </row>
    <row r="72" spans="1:20" ht="15.75" hidden="1">
      <c r="A72" s="1281"/>
      <c r="B72" s="1281"/>
      <c r="C72" s="1282"/>
      <c r="D72" s="1283"/>
      <c r="E72" s="1284"/>
      <c r="F72" s="1283"/>
      <c r="G72" s="1284"/>
      <c r="H72" s="1285">
        <f t="shared" si="0"/>
        <v>0</v>
      </c>
      <c r="I72" s="1286"/>
      <c r="J72" s="52">
        <f t="shared" si="1"/>
        <v>0</v>
      </c>
      <c r="L72" s="1299"/>
      <c r="M72" s="1299"/>
      <c r="N72" s="1299"/>
      <c r="O72" s="1299"/>
      <c r="P72" s="318"/>
      <c r="Q72" s="318"/>
      <c r="R72" s="318"/>
      <c r="S72" s="318"/>
      <c r="T72" s="318"/>
    </row>
    <row r="73" spans="1:20" ht="15.75" hidden="1">
      <c r="A73" s="1281"/>
      <c r="B73" s="1281"/>
      <c r="C73" s="1282"/>
      <c r="D73" s="1283"/>
      <c r="E73" s="1284"/>
      <c r="F73" s="1283"/>
      <c r="G73" s="1284"/>
      <c r="H73" s="1285">
        <f t="shared" si="0"/>
        <v>0</v>
      </c>
      <c r="I73" s="1286"/>
      <c r="J73" s="52">
        <f t="shared" si="1"/>
        <v>0</v>
      </c>
      <c r="L73" s="1299"/>
      <c r="M73" s="1299"/>
      <c r="N73" s="1299"/>
      <c r="O73" s="1299"/>
      <c r="P73" s="318"/>
      <c r="Q73" s="318"/>
      <c r="R73" s="318"/>
      <c r="S73" s="318"/>
      <c r="T73" s="318"/>
    </row>
    <row r="74" spans="1:20" ht="15.75" hidden="1">
      <c r="A74" s="1281"/>
      <c r="B74" s="1281"/>
      <c r="C74" s="1282"/>
      <c r="D74" s="1283"/>
      <c r="E74" s="1284"/>
      <c r="F74" s="1283"/>
      <c r="G74" s="1284"/>
      <c r="H74" s="1285">
        <f t="shared" si="0"/>
        <v>0</v>
      </c>
      <c r="I74" s="1286"/>
      <c r="J74" s="52">
        <f t="shared" si="1"/>
        <v>0</v>
      </c>
      <c r="L74" s="1299"/>
      <c r="M74" s="1299"/>
      <c r="N74" s="1299"/>
      <c r="O74" s="1299"/>
      <c r="P74" s="318"/>
      <c r="Q74" s="318"/>
      <c r="R74" s="318"/>
      <c r="S74" s="318"/>
      <c r="T74" s="318"/>
    </row>
    <row r="75" spans="1:20" ht="15.75" hidden="1">
      <c r="A75" s="1281"/>
      <c r="B75" s="1281"/>
      <c r="C75" s="1282"/>
      <c r="D75" s="1283"/>
      <c r="E75" s="1284"/>
      <c r="F75" s="1283"/>
      <c r="G75" s="1284"/>
      <c r="H75" s="1285">
        <f t="shared" si="0"/>
        <v>0</v>
      </c>
      <c r="I75" s="1286"/>
      <c r="J75" s="52">
        <f t="shared" si="1"/>
        <v>0</v>
      </c>
      <c r="L75" s="1299"/>
      <c r="M75" s="1299"/>
      <c r="N75" s="1299"/>
      <c r="O75" s="1299"/>
      <c r="P75" s="318"/>
      <c r="Q75" s="318"/>
      <c r="R75" s="318"/>
      <c r="S75" s="318"/>
      <c r="T75" s="318"/>
    </row>
    <row r="76" spans="1:20" ht="15.75" hidden="1">
      <c r="A76" s="1281"/>
      <c r="B76" s="1281"/>
      <c r="C76" s="1282"/>
      <c r="D76" s="1283"/>
      <c r="E76" s="1284"/>
      <c r="F76" s="1283"/>
      <c r="G76" s="1284"/>
      <c r="H76" s="1285">
        <f t="shared" si="0"/>
        <v>0</v>
      </c>
      <c r="I76" s="1286"/>
      <c r="J76" s="52">
        <f t="shared" si="1"/>
        <v>0</v>
      </c>
      <c r="L76" s="1299"/>
      <c r="M76" s="1299"/>
      <c r="N76" s="1299"/>
      <c r="O76" s="1299"/>
      <c r="P76" s="318"/>
      <c r="Q76" s="318"/>
      <c r="R76" s="318"/>
      <c r="S76" s="318"/>
      <c r="T76" s="318"/>
    </row>
    <row r="77" spans="1:20" ht="15.75" hidden="1">
      <c r="A77" s="1281"/>
      <c r="B77" s="1281"/>
      <c r="C77" s="1282"/>
      <c r="D77" s="1283"/>
      <c r="E77" s="1284"/>
      <c r="F77" s="1283"/>
      <c r="G77" s="1284"/>
      <c r="H77" s="1285">
        <f t="shared" si="0"/>
        <v>0</v>
      </c>
      <c r="I77" s="1286"/>
      <c r="J77" s="52">
        <f t="shared" si="1"/>
        <v>0</v>
      </c>
      <c r="L77" s="1299"/>
      <c r="M77" s="1299"/>
      <c r="N77" s="1299"/>
      <c r="O77" s="1299"/>
      <c r="P77" s="318"/>
      <c r="Q77" s="318"/>
      <c r="R77" s="318"/>
      <c r="S77" s="318"/>
      <c r="T77" s="318"/>
    </row>
    <row r="78" spans="1:20" ht="15.75" hidden="1">
      <c r="A78" s="1281"/>
      <c r="B78" s="1281"/>
      <c r="C78" s="1282"/>
      <c r="D78" s="1283"/>
      <c r="E78" s="1284"/>
      <c r="F78" s="1283"/>
      <c r="G78" s="1284"/>
      <c r="H78" s="1285">
        <f t="shared" si="0"/>
        <v>0</v>
      </c>
      <c r="I78" s="1286"/>
      <c r="J78" s="52">
        <f t="shared" si="1"/>
        <v>0</v>
      </c>
      <c r="L78" s="1299"/>
      <c r="M78" s="1299"/>
      <c r="N78" s="1299"/>
      <c r="O78" s="1299"/>
      <c r="P78" s="318"/>
      <c r="Q78" s="318"/>
      <c r="R78" s="318"/>
      <c r="S78" s="318"/>
      <c r="T78" s="318"/>
    </row>
    <row r="79" spans="1:20" ht="15.75" hidden="1">
      <c r="A79" s="1281"/>
      <c r="B79" s="1281"/>
      <c r="C79" s="1282"/>
      <c r="D79" s="1283"/>
      <c r="E79" s="1284"/>
      <c r="F79" s="1283"/>
      <c r="G79" s="1284"/>
      <c r="H79" s="1285">
        <f aca="true" t="shared" si="2" ref="H79:H89">D79-F79</f>
        <v>0</v>
      </c>
      <c r="I79" s="1286"/>
      <c r="J79" s="52">
        <f aca="true" t="shared" si="3" ref="J79:J89">J78+H79</f>
        <v>0</v>
      </c>
      <c r="L79" s="1299"/>
      <c r="M79" s="1299"/>
      <c r="N79" s="1299"/>
      <c r="O79" s="1299"/>
      <c r="P79" s="318"/>
      <c r="Q79" s="318"/>
      <c r="R79" s="318"/>
      <c r="S79" s="318"/>
      <c r="T79" s="318"/>
    </row>
    <row r="80" spans="1:20" ht="15.75" hidden="1">
      <c r="A80" s="1281"/>
      <c r="B80" s="1281"/>
      <c r="C80" s="1282"/>
      <c r="D80" s="1283"/>
      <c r="E80" s="1284"/>
      <c r="F80" s="1283"/>
      <c r="G80" s="1284"/>
      <c r="H80" s="1285">
        <f t="shared" si="2"/>
        <v>0</v>
      </c>
      <c r="I80" s="1286"/>
      <c r="J80" s="52">
        <f t="shared" si="3"/>
        <v>0</v>
      </c>
      <c r="L80" s="1299"/>
      <c r="M80" s="1299"/>
      <c r="N80" s="1299"/>
      <c r="O80" s="1299"/>
      <c r="P80" s="318"/>
      <c r="Q80" s="318"/>
      <c r="R80" s="318"/>
      <c r="S80" s="318"/>
      <c r="T80" s="318"/>
    </row>
    <row r="81" spans="1:20" ht="15.75" hidden="1">
      <c r="A81" s="1281"/>
      <c r="B81" s="1281"/>
      <c r="C81" s="1282"/>
      <c r="D81" s="1283"/>
      <c r="E81" s="1284"/>
      <c r="F81" s="1283"/>
      <c r="G81" s="1284"/>
      <c r="H81" s="1285">
        <f t="shared" si="2"/>
        <v>0</v>
      </c>
      <c r="I81" s="1286"/>
      <c r="J81" s="52">
        <f t="shared" si="3"/>
        <v>0</v>
      </c>
      <c r="L81" s="1299"/>
      <c r="M81" s="1299"/>
      <c r="N81" s="1299"/>
      <c r="O81" s="1299"/>
      <c r="P81" s="318"/>
      <c r="Q81" s="318"/>
      <c r="R81" s="318"/>
      <c r="S81" s="318"/>
      <c r="T81" s="318"/>
    </row>
    <row r="82" spans="1:20" ht="15.75" hidden="1">
      <c r="A82" s="1281"/>
      <c r="B82" s="1281"/>
      <c r="C82" s="1282"/>
      <c r="D82" s="1283"/>
      <c r="E82" s="1284"/>
      <c r="F82" s="1283"/>
      <c r="G82" s="1284"/>
      <c r="H82" s="1285">
        <f t="shared" si="2"/>
        <v>0</v>
      </c>
      <c r="I82" s="1286"/>
      <c r="J82" s="52">
        <f t="shared" si="3"/>
        <v>0</v>
      </c>
      <c r="L82" s="1299"/>
      <c r="M82" s="1299"/>
      <c r="N82" s="1299"/>
      <c r="O82" s="1299"/>
      <c r="P82" s="318"/>
      <c r="Q82" s="318"/>
      <c r="R82" s="318"/>
      <c r="S82" s="318"/>
      <c r="T82" s="318"/>
    </row>
    <row r="83" spans="1:20" ht="15.75" hidden="1">
      <c r="A83" s="1281"/>
      <c r="B83" s="1281"/>
      <c r="C83" s="1282"/>
      <c r="D83" s="1283"/>
      <c r="E83" s="1284"/>
      <c r="F83" s="1283"/>
      <c r="G83" s="1284"/>
      <c r="H83" s="1285">
        <f t="shared" si="2"/>
        <v>0</v>
      </c>
      <c r="I83" s="1286"/>
      <c r="J83" s="52">
        <f t="shared" si="3"/>
        <v>0</v>
      </c>
      <c r="L83" s="1299"/>
      <c r="M83" s="1299"/>
      <c r="N83" s="1299"/>
      <c r="O83" s="1299"/>
      <c r="P83" s="318"/>
      <c r="Q83" s="318"/>
      <c r="R83" s="318"/>
      <c r="S83" s="318"/>
      <c r="T83" s="318"/>
    </row>
    <row r="84" spans="1:20" ht="15.75" hidden="1">
      <c r="A84" s="1281"/>
      <c r="B84" s="1281"/>
      <c r="C84" s="1282"/>
      <c r="D84" s="1283"/>
      <c r="E84" s="1284"/>
      <c r="F84" s="1283"/>
      <c r="G84" s="1284"/>
      <c r="H84" s="1285">
        <f t="shared" si="2"/>
        <v>0</v>
      </c>
      <c r="I84" s="1286"/>
      <c r="J84" s="52">
        <f t="shared" si="3"/>
        <v>0</v>
      </c>
      <c r="L84" s="1299"/>
      <c r="M84" s="1299"/>
      <c r="N84" s="1299"/>
      <c r="O84" s="1299"/>
      <c r="P84" s="318"/>
      <c r="Q84" s="318"/>
      <c r="R84" s="318"/>
      <c r="S84" s="318"/>
      <c r="T84" s="318"/>
    </row>
    <row r="85" spans="1:20" ht="15.75" hidden="1">
      <c r="A85" s="1281"/>
      <c r="B85" s="1281"/>
      <c r="C85" s="1282"/>
      <c r="D85" s="1283"/>
      <c r="E85" s="1284"/>
      <c r="F85" s="1283"/>
      <c r="G85" s="1284"/>
      <c r="H85" s="1285">
        <f t="shared" si="2"/>
        <v>0</v>
      </c>
      <c r="I85" s="1286"/>
      <c r="J85" s="52">
        <f t="shared" si="3"/>
        <v>0</v>
      </c>
      <c r="L85" s="1299"/>
      <c r="M85" s="1299"/>
      <c r="N85" s="1299"/>
      <c r="O85" s="1299"/>
      <c r="P85" s="318"/>
      <c r="Q85" s="318"/>
      <c r="R85" s="318"/>
      <c r="S85" s="318"/>
      <c r="T85" s="318"/>
    </row>
    <row r="86" spans="1:20" ht="15.75" hidden="1">
      <c r="A86" s="1281"/>
      <c r="B86" s="1281"/>
      <c r="C86" s="1282"/>
      <c r="D86" s="1283"/>
      <c r="E86" s="1284"/>
      <c r="F86" s="1283"/>
      <c r="G86" s="1284"/>
      <c r="H86" s="1285">
        <f t="shared" si="2"/>
        <v>0</v>
      </c>
      <c r="I86" s="1286"/>
      <c r="J86" s="52">
        <f t="shared" si="3"/>
        <v>0</v>
      </c>
      <c r="L86" s="1299"/>
      <c r="M86" s="1299"/>
      <c r="N86" s="1299"/>
      <c r="O86" s="1299"/>
      <c r="P86" s="318"/>
      <c r="Q86" s="318"/>
      <c r="R86" s="318"/>
      <c r="S86" s="318"/>
      <c r="T86" s="318"/>
    </row>
    <row r="87" spans="1:20" ht="15.75" hidden="1">
      <c r="A87" s="1281"/>
      <c r="B87" s="1281"/>
      <c r="C87" s="1282"/>
      <c r="D87" s="1283"/>
      <c r="E87" s="1284"/>
      <c r="F87" s="1283"/>
      <c r="G87" s="1284"/>
      <c r="H87" s="1285">
        <f t="shared" si="2"/>
        <v>0</v>
      </c>
      <c r="I87" s="1286"/>
      <c r="J87" s="52">
        <f t="shared" si="3"/>
        <v>0</v>
      </c>
      <c r="L87" s="1299"/>
      <c r="M87" s="1299"/>
      <c r="N87" s="1299"/>
      <c r="O87" s="1299"/>
      <c r="P87" s="318"/>
      <c r="Q87" s="318"/>
      <c r="R87" s="318"/>
      <c r="S87" s="318"/>
      <c r="T87" s="318"/>
    </row>
    <row r="88" spans="1:20" ht="15.75">
      <c r="A88" s="1281"/>
      <c r="B88" s="1281"/>
      <c r="C88" s="1282"/>
      <c r="D88" s="1283"/>
      <c r="E88" s="1284"/>
      <c r="F88" s="1283"/>
      <c r="G88" s="1284"/>
      <c r="H88" s="1285">
        <f t="shared" si="2"/>
        <v>0</v>
      </c>
      <c r="I88" s="1286"/>
      <c r="J88" s="52">
        <f t="shared" si="3"/>
        <v>0</v>
      </c>
      <c r="L88" s="1299"/>
      <c r="M88" s="1299"/>
      <c r="N88" s="1299"/>
      <c r="O88" s="1299"/>
      <c r="P88" s="318"/>
      <c r="Q88" s="318"/>
      <c r="R88" s="318"/>
      <c r="S88" s="318"/>
      <c r="T88" s="318"/>
    </row>
    <row r="89" spans="1:15" ht="11.25" customHeight="1">
      <c r="A89" s="1287"/>
      <c r="B89" s="1287"/>
      <c r="C89" s="1288"/>
      <c r="D89" s="1289"/>
      <c r="E89" s="1290"/>
      <c r="F89" s="1289"/>
      <c r="G89" s="1290"/>
      <c r="H89" s="1291">
        <f t="shared" si="2"/>
        <v>0</v>
      </c>
      <c r="I89" s="1292"/>
      <c r="J89" s="52">
        <f t="shared" si="3"/>
        <v>0</v>
      </c>
      <c r="L89" s="1299"/>
      <c r="M89" s="1299"/>
      <c r="N89" s="1299"/>
      <c r="O89" s="1299"/>
    </row>
    <row r="90" spans="1:15" ht="27" customHeight="1">
      <c r="A90" s="1293" t="s">
        <v>155</v>
      </c>
      <c r="B90" s="1293"/>
      <c r="C90" s="1293"/>
      <c r="D90" s="1293"/>
      <c r="E90" s="1293"/>
      <c r="F90" s="1293"/>
      <c r="G90" s="1293"/>
      <c r="H90" s="1293"/>
      <c r="I90" s="1293"/>
      <c r="J90" s="1293"/>
      <c r="L90" s="318"/>
      <c r="M90" s="318"/>
      <c r="N90" s="318"/>
      <c r="O90" s="318"/>
    </row>
    <row r="91" spans="1:15" ht="22.5" customHeight="1">
      <c r="A91" s="1294" t="s">
        <v>761</v>
      </c>
      <c r="B91" s="1295"/>
      <c r="C91" s="1295"/>
      <c r="D91" s="1295"/>
      <c r="E91" s="1295"/>
      <c r="F91" s="1295"/>
      <c r="G91" s="1295"/>
      <c r="H91" s="1295"/>
      <c r="I91" s="1295"/>
      <c r="J91" s="1295"/>
      <c r="L91" s="318"/>
      <c r="M91" s="318"/>
      <c r="N91" s="318"/>
      <c r="O91" s="318"/>
    </row>
    <row r="92" spans="1:15" ht="24.75" customHeight="1">
      <c r="A92" s="1296" t="s">
        <v>762</v>
      </c>
      <c r="B92" s="1297"/>
      <c r="C92" s="1297"/>
      <c r="D92" s="1297"/>
      <c r="E92" s="1297"/>
      <c r="F92" s="1297"/>
      <c r="G92" s="1297"/>
      <c r="H92" s="1297"/>
      <c r="I92" s="1297"/>
      <c r="J92" s="1297"/>
      <c r="L92" s="318"/>
      <c r="M92" s="318"/>
      <c r="N92" s="318"/>
      <c r="O92" s="318"/>
    </row>
    <row r="93" spans="12:15" ht="11.25" customHeight="1">
      <c r="L93" s="318"/>
      <c r="M93" s="318"/>
      <c r="N93" s="318"/>
      <c r="O93" s="318"/>
    </row>
  </sheetData>
  <sheetProtection password="C236" sheet="1" objects="1" formatColumns="0" formatRows="0" insertRows="0"/>
  <mergeCells count="329">
    <mergeCell ref="A90:J90"/>
    <mergeCell ref="A91:J91"/>
    <mergeCell ref="A92:J92"/>
    <mergeCell ref="L2:O3"/>
    <mergeCell ref="L5:O89"/>
    <mergeCell ref="A10:C12"/>
    <mergeCell ref="A88:C88"/>
    <mergeCell ref="D88:E88"/>
    <mergeCell ref="F88:G88"/>
    <mergeCell ref="H88:I88"/>
    <mergeCell ref="A89:C89"/>
    <mergeCell ref="D89:E89"/>
    <mergeCell ref="F89:G89"/>
    <mergeCell ref="H89:I89"/>
    <mergeCell ref="A86:C86"/>
    <mergeCell ref="D86:E86"/>
    <mergeCell ref="F86:G86"/>
    <mergeCell ref="H86:I86"/>
    <mergeCell ref="A87:C87"/>
    <mergeCell ref="D87:E87"/>
    <mergeCell ref="F87:G87"/>
    <mergeCell ref="H87:I87"/>
    <mergeCell ref="A84:C84"/>
    <mergeCell ref="D84:E84"/>
    <mergeCell ref="F84:G84"/>
    <mergeCell ref="H84:I84"/>
    <mergeCell ref="A85:C85"/>
    <mergeCell ref="D85:E85"/>
    <mergeCell ref="F85:G85"/>
    <mergeCell ref="H85:I85"/>
    <mergeCell ref="A82:C82"/>
    <mergeCell ref="D82:E82"/>
    <mergeCell ref="F82:G82"/>
    <mergeCell ref="H82:I82"/>
    <mergeCell ref="A83:C83"/>
    <mergeCell ref="D83:E83"/>
    <mergeCell ref="F83:G83"/>
    <mergeCell ref="H83:I83"/>
    <mergeCell ref="A80:C80"/>
    <mergeCell ref="D80:E80"/>
    <mergeCell ref="F80:G80"/>
    <mergeCell ref="H80:I80"/>
    <mergeCell ref="A81:C81"/>
    <mergeCell ref="D81:E81"/>
    <mergeCell ref="F81:G81"/>
    <mergeCell ref="H81:I81"/>
    <mergeCell ref="A78:C78"/>
    <mergeCell ref="D78:E78"/>
    <mergeCell ref="F78:G78"/>
    <mergeCell ref="H78:I78"/>
    <mergeCell ref="A79:C79"/>
    <mergeCell ref="D79:E79"/>
    <mergeCell ref="F79:G79"/>
    <mergeCell ref="H79:I79"/>
    <mergeCell ref="A76:C76"/>
    <mergeCell ref="D76:E76"/>
    <mergeCell ref="F76:G76"/>
    <mergeCell ref="H76:I76"/>
    <mergeCell ref="A77:C77"/>
    <mergeCell ref="D77:E77"/>
    <mergeCell ref="F77:G77"/>
    <mergeCell ref="H77:I77"/>
    <mergeCell ref="A74:C74"/>
    <mergeCell ref="D74:E74"/>
    <mergeCell ref="F74:G74"/>
    <mergeCell ref="H74:I74"/>
    <mergeCell ref="A75:C75"/>
    <mergeCell ref="D75:E75"/>
    <mergeCell ref="F75:G75"/>
    <mergeCell ref="H75:I75"/>
    <mergeCell ref="A72:C72"/>
    <mergeCell ref="D72:E72"/>
    <mergeCell ref="F72:G72"/>
    <mergeCell ref="H72:I72"/>
    <mergeCell ref="A73:C73"/>
    <mergeCell ref="D73:E73"/>
    <mergeCell ref="F73:G73"/>
    <mergeCell ref="H73:I73"/>
    <mergeCell ref="A70:C70"/>
    <mergeCell ref="D70:E70"/>
    <mergeCell ref="F70:G70"/>
    <mergeCell ref="H70:I70"/>
    <mergeCell ref="A71:C71"/>
    <mergeCell ref="D71:E71"/>
    <mergeCell ref="F71:G71"/>
    <mergeCell ref="H71:I71"/>
    <mergeCell ref="A68:C68"/>
    <mergeCell ref="D68:E68"/>
    <mergeCell ref="F68:G68"/>
    <mergeCell ref="H68:I68"/>
    <mergeCell ref="A69:C69"/>
    <mergeCell ref="D69:E69"/>
    <mergeCell ref="F69:G69"/>
    <mergeCell ref="H69:I69"/>
    <mergeCell ref="A66:C66"/>
    <mergeCell ref="D66:E66"/>
    <mergeCell ref="F66:G66"/>
    <mergeCell ref="H66:I66"/>
    <mergeCell ref="A67:C67"/>
    <mergeCell ref="D67:E67"/>
    <mergeCell ref="F67:G67"/>
    <mergeCell ref="H67:I67"/>
    <mergeCell ref="A64:C64"/>
    <mergeCell ref="D64:E64"/>
    <mergeCell ref="F64:G64"/>
    <mergeCell ref="H64:I64"/>
    <mergeCell ref="A65:C65"/>
    <mergeCell ref="D65:E65"/>
    <mergeCell ref="F65:G65"/>
    <mergeCell ref="H65:I65"/>
    <mergeCell ref="A62:C62"/>
    <mergeCell ref="D62:E62"/>
    <mergeCell ref="F62:G62"/>
    <mergeCell ref="H62:I62"/>
    <mergeCell ref="A63:C63"/>
    <mergeCell ref="D63:E63"/>
    <mergeCell ref="F63:G63"/>
    <mergeCell ref="H63:I63"/>
    <mergeCell ref="A60:C60"/>
    <mergeCell ref="D60:E60"/>
    <mergeCell ref="F60:G60"/>
    <mergeCell ref="H60:I60"/>
    <mergeCell ref="A61:C61"/>
    <mergeCell ref="D61:E61"/>
    <mergeCell ref="F61:G61"/>
    <mergeCell ref="H61:I61"/>
    <mergeCell ref="A58:C58"/>
    <mergeCell ref="D58:E58"/>
    <mergeCell ref="F58:G58"/>
    <mergeCell ref="H58:I58"/>
    <mergeCell ref="A59:C59"/>
    <mergeCell ref="D59:E59"/>
    <mergeCell ref="F59:G59"/>
    <mergeCell ref="H59:I59"/>
    <mergeCell ref="A56:C56"/>
    <mergeCell ref="D56:E56"/>
    <mergeCell ref="F56:G56"/>
    <mergeCell ref="H56:I56"/>
    <mergeCell ref="A57:C57"/>
    <mergeCell ref="D57:E57"/>
    <mergeCell ref="F57:G57"/>
    <mergeCell ref="H57:I57"/>
    <mergeCell ref="A54:C54"/>
    <mergeCell ref="D54:E54"/>
    <mergeCell ref="F54:G54"/>
    <mergeCell ref="H54:I54"/>
    <mergeCell ref="A55:C55"/>
    <mergeCell ref="D55:E55"/>
    <mergeCell ref="F55:G55"/>
    <mergeCell ref="H55:I55"/>
    <mergeCell ref="A52:C52"/>
    <mergeCell ref="D52:E52"/>
    <mergeCell ref="F52:G52"/>
    <mergeCell ref="H52:I52"/>
    <mergeCell ref="A53:C53"/>
    <mergeCell ref="D53:E53"/>
    <mergeCell ref="F53:G53"/>
    <mergeCell ref="H53:I53"/>
    <mergeCell ref="A50:C50"/>
    <mergeCell ref="D50:E50"/>
    <mergeCell ref="F50:G50"/>
    <mergeCell ref="H50:I50"/>
    <mergeCell ref="A51:C51"/>
    <mergeCell ref="D51:E51"/>
    <mergeCell ref="F51:G51"/>
    <mergeCell ref="H51:I51"/>
    <mergeCell ref="A48:C48"/>
    <mergeCell ref="D48:E48"/>
    <mergeCell ref="F48:G48"/>
    <mergeCell ref="H48:I48"/>
    <mergeCell ref="A49:C49"/>
    <mergeCell ref="D49:E49"/>
    <mergeCell ref="F49:G49"/>
    <mergeCell ref="H49:I49"/>
    <mergeCell ref="A46:C46"/>
    <mergeCell ref="D46:E46"/>
    <mergeCell ref="F46:G46"/>
    <mergeCell ref="H46:I46"/>
    <mergeCell ref="A47:C47"/>
    <mergeCell ref="D47:E47"/>
    <mergeCell ref="F47:G47"/>
    <mergeCell ref="H47:I47"/>
    <mergeCell ref="A44:C44"/>
    <mergeCell ref="D44:E44"/>
    <mergeCell ref="F44:G44"/>
    <mergeCell ref="H44:I44"/>
    <mergeCell ref="A45:C45"/>
    <mergeCell ref="D45:E45"/>
    <mergeCell ref="F45:G45"/>
    <mergeCell ref="H45:I45"/>
    <mergeCell ref="A42:C42"/>
    <mergeCell ref="D42:E42"/>
    <mergeCell ref="F42:G42"/>
    <mergeCell ref="H42:I42"/>
    <mergeCell ref="A43:C43"/>
    <mergeCell ref="D43:E43"/>
    <mergeCell ref="F43:G43"/>
    <mergeCell ref="H43:I43"/>
    <mergeCell ref="A40:C40"/>
    <mergeCell ref="D40:E40"/>
    <mergeCell ref="F40:G40"/>
    <mergeCell ref="H40:I40"/>
    <mergeCell ref="A41:C41"/>
    <mergeCell ref="D41:E41"/>
    <mergeCell ref="F41:G41"/>
    <mergeCell ref="H41:I41"/>
    <mergeCell ref="A38:C38"/>
    <mergeCell ref="D38:E38"/>
    <mergeCell ref="F38:G38"/>
    <mergeCell ref="H38:I38"/>
    <mergeCell ref="A39:C39"/>
    <mergeCell ref="D39:E39"/>
    <mergeCell ref="F39:G39"/>
    <mergeCell ref="H39:I39"/>
    <mergeCell ref="A36:C36"/>
    <mergeCell ref="D36:E36"/>
    <mergeCell ref="F36:G36"/>
    <mergeCell ref="H36:I36"/>
    <mergeCell ref="A37:C37"/>
    <mergeCell ref="D37:E37"/>
    <mergeCell ref="F37:G37"/>
    <mergeCell ref="H37:I37"/>
    <mergeCell ref="A34:C34"/>
    <mergeCell ref="D34:E34"/>
    <mergeCell ref="F34:G34"/>
    <mergeCell ref="H34:I34"/>
    <mergeCell ref="A35:C35"/>
    <mergeCell ref="D35:E35"/>
    <mergeCell ref="F35:G35"/>
    <mergeCell ref="H35:I35"/>
    <mergeCell ref="A32:C32"/>
    <mergeCell ref="D32:E32"/>
    <mergeCell ref="F32:G32"/>
    <mergeCell ref="H32:I32"/>
    <mergeCell ref="A33:C33"/>
    <mergeCell ref="D33:E33"/>
    <mergeCell ref="F33:G33"/>
    <mergeCell ref="H33:I33"/>
    <mergeCell ref="A30:C30"/>
    <mergeCell ref="D30:E30"/>
    <mergeCell ref="F30:G30"/>
    <mergeCell ref="H30:I30"/>
    <mergeCell ref="A31:C31"/>
    <mergeCell ref="D31:E31"/>
    <mergeCell ref="F31:G31"/>
    <mergeCell ref="H31:I31"/>
    <mergeCell ref="A28:C28"/>
    <mergeCell ref="D28:E28"/>
    <mergeCell ref="F28:G28"/>
    <mergeCell ref="H28:I28"/>
    <mergeCell ref="A29:C29"/>
    <mergeCell ref="D29:E29"/>
    <mergeCell ref="F29:G29"/>
    <mergeCell ref="H29:I29"/>
    <mergeCell ref="A26:C26"/>
    <mergeCell ref="D26:E26"/>
    <mergeCell ref="F26:G26"/>
    <mergeCell ref="H26:I26"/>
    <mergeCell ref="A27:C27"/>
    <mergeCell ref="D27:E27"/>
    <mergeCell ref="F27:G27"/>
    <mergeCell ref="H27:I27"/>
    <mergeCell ref="A24:C24"/>
    <mergeCell ref="D24:E24"/>
    <mergeCell ref="F24:G24"/>
    <mergeCell ref="H24:I24"/>
    <mergeCell ref="A25:C25"/>
    <mergeCell ref="D25:E25"/>
    <mergeCell ref="F25:G25"/>
    <mergeCell ref="H25:I25"/>
    <mergeCell ref="A22:C22"/>
    <mergeCell ref="D22:E22"/>
    <mergeCell ref="F22:G22"/>
    <mergeCell ref="H22:I22"/>
    <mergeCell ref="A23:C23"/>
    <mergeCell ref="D23:E23"/>
    <mergeCell ref="F23:G23"/>
    <mergeCell ref="H23:I23"/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D12:E12"/>
    <mergeCell ref="F12:G12"/>
    <mergeCell ref="H12:I12"/>
    <mergeCell ref="A13:C13"/>
    <mergeCell ref="D13:E13"/>
    <mergeCell ref="F13:G13"/>
    <mergeCell ref="H13:I13"/>
    <mergeCell ref="D10:E10"/>
    <mergeCell ref="F10:G10"/>
    <mergeCell ref="H10:I10"/>
    <mergeCell ref="D11:E11"/>
    <mergeCell ref="F11:G11"/>
    <mergeCell ref="H11:I11"/>
    <mergeCell ref="A3:J3"/>
    <mergeCell ref="A4:J4"/>
    <mergeCell ref="A5:J5"/>
    <mergeCell ref="A6:J6"/>
    <mergeCell ref="A7:J7"/>
    <mergeCell ref="E9:F9"/>
  </mergeCells>
  <printOptions horizontalCentered="1"/>
  <pageMargins left="0.39" right="0.39" top="0.59" bottom="0.39" header="0" footer="0.2"/>
  <pageSetup horizontalDpi="600" verticalDpi="6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B13" sqref="B13"/>
    </sheetView>
  </sheetViews>
  <sheetFormatPr defaultColWidth="22.28125" defaultRowHeight="11.25" customHeight="1"/>
  <cols>
    <col min="1" max="1" width="48.00390625" style="265" customWidth="1"/>
    <col min="2" max="2" width="22.8515625" style="265" bestFit="1" customWidth="1"/>
    <col min="3" max="3" width="14.8515625" style="265" customWidth="1"/>
    <col min="4" max="4" width="13.421875" style="265" customWidth="1"/>
    <col min="5" max="5" width="14.421875" style="265" customWidth="1"/>
    <col min="6" max="6" width="23.7109375" style="265" customWidth="1"/>
    <col min="7" max="7" width="17.8515625" style="265" customWidth="1"/>
    <col min="8" max="8" width="19.140625" style="264" bestFit="1" customWidth="1"/>
    <col min="9" max="16384" width="22.28125" style="265" customWidth="1"/>
  </cols>
  <sheetData>
    <row r="1" ht="15.75">
      <c r="A1" s="266" t="s">
        <v>763</v>
      </c>
    </row>
    <row r="3" spans="1:7" ht="11.25" customHeight="1">
      <c r="A3" s="1310" t="str">
        <f>'Informações Iniciais'!A1</f>
        <v>ESTADO DO MARANHÃO - PREFEITURA MUNICIPAL DE DAVINOPOLIS</v>
      </c>
      <c r="B3" s="1310"/>
      <c r="C3" s="1310"/>
      <c r="D3" s="1310"/>
      <c r="E3" s="1310"/>
      <c r="F3" s="1310"/>
      <c r="G3" s="267"/>
    </row>
    <row r="4" spans="1:7" ht="11.25" customHeight="1">
      <c r="A4" s="1310" t="s">
        <v>1</v>
      </c>
      <c r="B4" s="1310"/>
      <c r="C4" s="1310"/>
      <c r="D4" s="1310"/>
      <c r="E4" s="1310"/>
      <c r="F4" s="1310"/>
      <c r="G4" s="267"/>
    </row>
    <row r="5" spans="1:7" ht="11.25" customHeight="1">
      <c r="A5" s="1311" t="s">
        <v>764</v>
      </c>
      <c r="B5" s="1311"/>
      <c r="C5" s="1311"/>
      <c r="D5" s="1311"/>
      <c r="E5" s="1311"/>
      <c r="F5" s="1311"/>
      <c r="G5" s="268"/>
    </row>
    <row r="6" spans="1:7" ht="11.25" customHeight="1">
      <c r="A6" s="1310" t="s">
        <v>30</v>
      </c>
      <c r="B6" s="1310"/>
      <c r="C6" s="1310"/>
      <c r="D6" s="1310"/>
      <c r="E6" s="1310"/>
      <c r="F6" s="1310"/>
      <c r="G6" s="267"/>
    </row>
    <row r="7" spans="1:7" ht="11.25" customHeight="1">
      <c r="A7" s="1310" t="str">
        <f>'Informações Iniciais'!A5</f>
        <v>1º Bimestre de 2017</v>
      </c>
      <c r="B7" s="1310"/>
      <c r="C7" s="1310"/>
      <c r="D7" s="1310"/>
      <c r="E7" s="1310"/>
      <c r="F7" s="1310"/>
      <c r="G7" s="267"/>
    </row>
    <row r="9" spans="1:8" ht="11.25" customHeight="1">
      <c r="A9" s="269" t="s">
        <v>765</v>
      </c>
      <c r="F9" s="270"/>
      <c r="G9" s="270"/>
      <c r="H9" s="270" t="s">
        <v>32</v>
      </c>
    </row>
    <row r="10" spans="1:8" ht="11.25" customHeight="1">
      <c r="A10" s="1315" t="s">
        <v>33</v>
      </c>
      <c r="B10" s="271" t="s">
        <v>35</v>
      </c>
      <c r="C10" s="1312" t="s">
        <v>36</v>
      </c>
      <c r="D10" s="1313"/>
      <c r="E10" s="1313"/>
      <c r="F10" s="1313"/>
      <c r="G10" s="1314"/>
      <c r="H10" s="271" t="s">
        <v>37</v>
      </c>
    </row>
    <row r="11" spans="1:8" ht="11.25" customHeight="1">
      <c r="A11" s="1316"/>
      <c r="B11" s="273" t="s">
        <v>41</v>
      </c>
      <c r="C11" s="1320" t="s">
        <v>42</v>
      </c>
      <c r="D11" s="1321"/>
      <c r="E11" s="1321"/>
      <c r="F11" s="1321"/>
      <c r="G11" s="1322"/>
      <c r="H11" s="273" t="s">
        <v>174</v>
      </c>
    </row>
    <row r="12" spans="1:8" ht="11.25" customHeight="1">
      <c r="A12" s="275" t="s">
        <v>766</v>
      </c>
      <c r="B12" s="52">
        <f>SUM(B13:B14)</f>
        <v>0</v>
      </c>
      <c r="C12" s="1279">
        <f>SUM(C13:G14)</f>
        <v>0</v>
      </c>
      <c r="D12" s="1323"/>
      <c r="E12" s="1323"/>
      <c r="F12" s="1323"/>
      <c r="G12" s="1280"/>
      <c r="H12" s="52">
        <f>B12-C12</f>
        <v>0</v>
      </c>
    </row>
    <row r="13" spans="1:8" ht="11.25" customHeight="1">
      <c r="A13" s="276" t="s">
        <v>767</v>
      </c>
      <c r="B13" s="30"/>
      <c r="C13" s="1283"/>
      <c r="D13" s="1324"/>
      <c r="E13" s="1324"/>
      <c r="F13" s="1324"/>
      <c r="G13" s="1284"/>
      <c r="H13" s="52">
        <f>B13-C13</f>
        <v>0</v>
      </c>
    </row>
    <row r="14" spans="1:8" ht="11.25" customHeight="1">
      <c r="A14" s="276" t="s">
        <v>768</v>
      </c>
      <c r="B14" s="30"/>
      <c r="C14" s="1289"/>
      <c r="D14" s="1325"/>
      <c r="E14" s="1325"/>
      <c r="F14" s="1325"/>
      <c r="G14" s="1290"/>
      <c r="H14" s="52">
        <f>B14-C14</f>
        <v>0</v>
      </c>
    </row>
    <row r="15" spans="1:8" s="264" customFormat="1" ht="11.25" customHeight="1">
      <c r="A15" s="277"/>
      <c r="B15" s="278"/>
      <c r="C15" s="278"/>
      <c r="D15" s="278"/>
      <c r="E15" s="278"/>
      <c r="F15" s="278"/>
      <c r="G15" s="278"/>
      <c r="H15" s="278"/>
    </row>
    <row r="16" spans="1:8" ht="11.25" customHeight="1">
      <c r="A16" s="279"/>
      <c r="B16" s="280" t="s">
        <v>120</v>
      </c>
      <c r="C16" s="281" t="s">
        <v>769</v>
      </c>
      <c r="D16" s="282" t="s">
        <v>769</v>
      </c>
      <c r="E16" s="283" t="s">
        <v>770</v>
      </c>
      <c r="F16" s="284" t="s">
        <v>769</v>
      </c>
      <c r="G16" s="272" t="s">
        <v>771</v>
      </c>
      <c r="H16" s="271" t="s">
        <v>37</v>
      </c>
    </row>
    <row r="17" spans="1:8" ht="11.25" customHeight="1">
      <c r="A17" s="285"/>
      <c r="B17" s="286"/>
      <c r="C17" s="287" t="s">
        <v>772</v>
      </c>
      <c r="D17" s="288" t="s">
        <v>773</v>
      </c>
      <c r="E17" s="289" t="s">
        <v>774</v>
      </c>
      <c r="F17" s="290" t="s">
        <v>775</v>
      </c>
      <c r="G17" s="291" t="s">
        <v>776</v>
      </c>
      <c r="H17" s="292"/>
    </row>
    <row r="18" spans="1:8" ht="11.25" customHeight="1">
      <c r="A18" s="293" t="s">
        <v>125</v>
      </c>
      <c r="B18" s="286"/>
      <c r="C18" s="294"/>
      <c r="D18" s="288"/>
      <c r="E18" s="295"/>
      <c r="F18" s="296" t="s">
        <v>777</v>
      </c>
      <c r="G18" s="286"/>
      <c r="H18" s="288"/>
    </row>
    <row r="19" spans="1:8" ht="11.25" customHeight="1">
      <c r="A19" s="297"/>
      <c r="B19" s="298" t="s">
        <v>126</v>
      </c>
      <c r="C19" s="274" t="s">
        <v>127</v>
      </c>
      <c r="D19" s="299"/>
      <c r="E19" s="274" t="s">
        <v>128</v>
      </c>
      <c r="F19" s="299"/>
      <c r="G19" s="274" t="s">
        <v>613</v>
      </c>
      <c r="H19" s="273" t="s">
        <v>778</v>
      </c>
    </row>
    <row r="20" spans="1:8" ht="11.25" customHeight="1">
      <c r="A20" s="300" t="s">
        <v>779</v>
      </c>
      <c r="B20" s="16">
        <f aca="true" t="shared" si="0" ref="B20:G20">B21+B25</f>
        <v>0</v>
      </c>
      <c r="C20" s="16">
        <f t="shared" si="0"/>
        <v>0</v>
      </c>
      <c r="D20" s="16">
        <f t="shared" si="0"/>
        <v>0</v>
      </c>
      <c r="E20" s="16">
        <f t="shared" si="0"/>
        <v>0</v>
      </c>
      <c r="F20" s="16">
        <f t="shared" si="0"/>
        <v>0</v>
      </c>
      <c r="G20" s="16">
        <f t="shared" si="0"/>
        <v>0</v>
      </c>
      <c r="H20" s="301">
        <f>B20-E20</f>
        <v>0</v>
      </c>
    </row>
    <row r="21" spans="1:8" ht="11.25" customHeight="1">
      <c r="A21" s="302" t="s">
        <v>447</v>
      </c>
      <c r="B21" s="303">
        <f aca="true" t="shared" si="1" ref="B21:G21">SUM(B22:B24)</f>
        <v>0</v>
      </c>
      <c r="C21" s="303">
        <f t="shared" si="1"/>
        <v>0</v>
      </c>
      <c r="D21" s="303">
        <f t="shared" si="1"/>
        <v>0</v>
      </c>
      <c r="E21" s="303">
        <f t="shared" si="1"/>
        <v>0</v>
      </c>
      <c r="F21" s="303">
        <f t="shared" si="1"/>
        <v>0</v>
      </c>
      <c r="G21" s="303">
        <f t="shared" si="1"/>
        <v>0</v>
      </c>
      <c r="H21" s="304">
        <f aca="true" t="shared" si="2" ref="H21:H27">B21-E21</f>
        <v>0</v>
      </c>
    </row>
    <row r="22" spans="1:8" ht="11.25" customHeight="1">
      <c r="A22" s="302" t="s">
        <v>780</v>
      </c>
      <c r="B22" s="30"/>
      <c r="C22" s="30"/>
      <c r="D22" s="30"/>
      <c r="E22" s="30"/>
      <c r="F22" s="30"/>
      <c r="G22" s="30"/>
      <c r="H22" s="304">
        <f t="shared" si="2"/>
        <v>0</v>
      </c>
    </row>
    <row r="23" spans="1:8" ht="11.25" customHeight="1">
      <c r="A23" s="302" t="s">
        <v>781</v>
      </c>
      <c r="B23" s="30"/>
      <c r="C23" s="30"/>
      <c r="D23" s="30"/>
      <c r="E23" s="30"/>
      <c r="F23" s="30"/>
      <c r="G23" s="30"/>
      <c r="H23" s="304">
        <f t="shared" si="2"/>
        <v>0</v>
      </c>
    </row>
    <row r="24" spans="1:8" ht="11.25" customHeight="1">
      <c r="A24" s="302" t="s">
        <v>782</v>
      </c>
      <c r="B24" s="30"/>
      <c r="C24" s="30"/>
      <c r="D24" s="30"/>
      <c r="E24" s="30"/>
      <c r="F24" s="30"/>
      <c r="G24" s="30"/>
      <c r="H24" s="304">
        <f t="shared" si="2"/>
        <v>0</v>
      </c>
    </row>
    <row r="25" spans="1:8" ht="11.25" customHeight="1">
      <c r="A25" s="302" t="s">
        <v>783</v>
      </c>
      <c r="B25" s="303">
        <f aca="true" t="shared" si="3" ref="B25:G25">SUM(B26:B27)</f>
        <v>0</v>
      </c>
      <c r="C25" s="303">
        <f t="shared" si="3"/>
        <v>0</v>
      </c>
      <c r="D25" s="303">
        <f t="shared" si="3"/>
        <v>0</v>
      </c>
      <c r="E25" s="303">
        <f t="shared" si="3"/>
        <v>0</v>
      </c>
      <c r="F25" s="303">
        <f t="shared" si="3"/>
        <v>0</v>
      </c>
      <c r="G25" s="303">
        <f t="shared" si="3"/>
        <v>0</v>
      </c>
      <c r="H25" s="304">
        <f t="shared" si="2"/>
        <v>0</v>
      </c>
    </row>
    <row r="26" spans="1:8" ht="11.25" customHeight="1">
      <c r="A26" s="302" t="s">
        <v>784</v>
      </c>
      <c r="B26" s="30"/>
      <c r="C26" s="30"/>
      <c r="D26" s="30"/>
      <c r="E26" s="30"/>
      <c r="F26" s="30"/>
      <c r="G26" s="30"/>
      <c r="H26" s="304">
        <f t="shared" si="2"/>
        <v>0</v>
      </c>
    </row>
    <row r="27" spans="1:8" ht="11.25" customHeight="1">
      <c r="A27" s="302" t="s">
        <v>785</v>
      </c>
      <c r="B27" s="30"/>
      <c r="C27" s="30"/>
      <c r="D27" s="30"/>
      <c r="E27" s="30"/>
      <c r="F27" s="30"/>
      <c r="G27" s="30"/>
      <c r="H27" s="305">
        <f t="shared" si="2"/>
        <v>0</v>
      </c>
    </row>
    <row r="28" spans="1:8" ht="11.25" customHeight="1">
      <c r="A28" s="306"/>
      <c r="B28" s="307"/>
      <c r="C28" s="307"/>
      <c r="D28" s="307"/>
      <c r="E28" s="307"/>
      <c r="F28" s="308"/>
      <c r="G28" s="308"/>
      <c r="H28" s="308"/>
    </row>
    <row r="29" spans="1:8" ht="11.25" customHeight="1">
      <c r="A29" s="1306" t="s">
        <v>786</v>
      </c>
      <c r="B29" s="309">
        <f>C29-1</f>
        <v>2016</v>
      </c>
      <c r="C29" s="1326">
        <v>2017</v>
      </c>
      <c r="D29" s="1327"/>
      <c r="E29" s="1327"/>
      <c r="F29" s="1327"/>
      <c r="G29" s="1328"/>
      <c r="H29" s="282" t="s">
        <v>787</v>
      </c>
    </row>
    <row r="30" spans="1:8" ht="11.25" customHeight="1">
      <c r="A30" s="1307"/>
      <c r="B30" s="299" t="s">
        <v>615</v>
      </c>
      <c r="C30" s="298"/>
      <c r="D30" s="1329" t="s">
        <v>788</v>
      </c>
      <c r="E30" s="1329"/>
      <c r="F30" s="1329"/>
      <c r="G30" s="310"/>
      <c r="H30" s="299" t="s">
        <v>789</v>
      </c>
    </row>
    <row r="31" spans="1:8" ht="11.25" customHeight="1">
      <c r="A31" s="311" t="s">
        <v>790</v>
      </c>
      <c r="B31" s="30"/>
      <c r="C31" s="1291">
        <f>C12-E20-G20</f>
        <v>0</v>
      </c>
      <c r="D31" s="1308"/>
      <c r="E31" s="1308"/>
      <c r="F31" s="1308"/>
      <c r="G31" s="1292"/>
      <c r="H31" s="312">
        <f>B31+C31</f>
        <v>0</v>
      </c>
    </row>
    <row r="32" spans="1:13" ht="16.5" customHeight="1">
      <c r="A32" s="1309" t="s">
        <v>155</v>
      </c>
      <c r="B32" s="1309"/>
      <c r="C32" s="1309"/>
      <c r="D32" s="1309"/>
      <c r="E32" s="1309"/>
      <c r="F32" s="1309"/>
      <c r="G32" s="1309"/>
      <c r="H32" s="1309"/>
      <c r="I32" s="313"/>
      <c r="J32" s="313"/>
      <c r="K32" s="313"/>
      <c r="L32" s="313"/>
      <c r="M32" s="313"/>
    </row>
    <row r="33" spans="1:8" ht="11.25" customHeight="1">
      <c r="A33" s="1317"/>
      <c r="B33" s="1317"/>
      <c r="C33" s="1317"/>
      <c r="D33" s="1317"/>
      <c r="E33" s="1317"/>
      <c r="F33" s="1317"/>
      <c r="G33" s="1317"/>
      <c r="H33" s="1317"/>
    </row>
    <row r="34" spans="1:8" ht="11.25" customHeight="1">
      <c r="A34" s="1318"/>
      <c r="B34" s="1318"/>
      <c r="C34" s="1318"/>
      <c r="D34" s="1318"/>
      <c r="E34" s="1318"/>
      <c r="F34" s="1318"/>
      <c r="G34" s="1318"/>
      <c r="H34" s="1318"/>
    </row>
    <row r="35" spans="1:8" ht="11.25" customHeight="1">
      <c r="A35" s="1319"/>
      <c r="B35" s="1319"/>
      <c r="C35" s="1319"/>
      <c r="D35" s="1319"/>
      <c r="E35" s="1319"/>
      <c r="F35" s="1319"/>
      <c r="G35" s="1319"/>
      <c r="H35" s="1319"/>
    </row>
    <row r="36" spans="1:8" ht="11.25" customHeight="1">
      <c r="A36" s="1319"/>
      <c r="B36" s="1319"/>
      <c r="C36" s="1319"/>
      <c r="D36" s="1319"/>
      <c r="E36" s="1319"/>
      <c r="F36" s="1319"/>
      <c r="G36" s="1319"/>
      <c r="H36" s="1319"/>
    </row>
    <row r="39" ht="11.25" customHeight="1">
      <c r="D39" s="265" t="s">
        <v>791</v>
      </c>
    </row>
  </sheetData>
  <sheetProtection password="C236" sheet="1" objects="1" formatColumns="0" selectLockedCells="1"/>
  <mergeCells count="20">
    <mergeCell ref="A33:H33"/>
    <mergeCell ref="A34:H34"/>
    <mergeCell ref="A35:H35"/>
    <mergeCell ref="A36:H36"/>
    <mergeCell ref="C11:G11"/>
    <mergeCell ref="C12:G12"/>
    <mergeCell ref="C13:G13"/>
    <mergeCell ref="C14:G14"/>
    <mergeCell ref="C29:G29"/>
    <mergeCell ref="D30:F30"/>
    <mergeCell ref="A29:A30"/>
    <mergeCell ref="C31:G31"/>
    <mergeCell ref="A32:H32"/>
    <mergeCell ref="A3:F3"/>
    <mergeCell ref="A4:F4"/>
    <mergeCell ref="A5:F5"/>
    <mergeCell ref="A6:F6"/>
    <mergeCell ref="A7:F7"/>
    <mergeCell ref="C10:G10"/>
    <mergeCell ref="A10:A11"/>
  </mergeCells>
  <printOptions horizontalCentered="1" verticalCentered="1"/>
  <pageMargins left="0" right="0" top="0.59" bottom="0.39" header="0" footer="0"/>
  <pageSetup horizontalDpi="600" verticalDpi="6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33"/>
  <sheetViews>
    <sheetView showGridLines="0" zoomScalePageLayoutView="0" workbookViewId="0" topLeftCell="A61">
      <selection activeCell="D119" sqref="D119"/>
    </sheetView>
  </sheetViews>
  <sheetFormatPr defaultColWidth="8.8515625" defaultRowHeight="12.75"/>
  <cols>
    <col min="1" max="1" width="78.57421875" style="40" customWidth="1"/>
    <col min="2" max="2" width="14.7109375" style="40" customWidth="1"/>
    <col min="3" max="8" width="15.7109375" style="40" customWidth="1"/>
    <col min="9" max="16384" width="8.8515625" style="143" customWidth="1"/>
  </cols>
  <sheetData>
    <row r="1" spans="1:7" ht="15.75">
      <c r="A1" s="144" t="s">
        <v>792</v>
      </c>
      <c r="B1" s="145"/>
      <c r="C1" s="145"/>
      <c r="D1" s="145"/>
      <c r="E1" s="145"/>
      <c r="F1" s="146"/>
      <c r="G1" s="146"/>
    </row>
    <row r="2" spans="1:7" ht="12.75">
      <c r="A2" s="147"/>
      <c r="B2" s="147"/>
      <c r="C2" s="147"/>
      <c r="D2" s="147"/>
      <c r="E2" s="147"/>
      <c r="F2" s="146"/>
      <c r="G2" s="146"/>
    </row>
    <row r="3" spans="1:7" ht="12.75">
      <c r="A3" s="781" t="str">
        <f>'Informações Iniciais'!A1</f>
        <v>ESTADO DO MARANHÃO - PREFEITURA MUNICIPAL DE DAVINOPOLIS</v>
      </c>
      <c r="B3" s="781"/>
      <c r="C3" s="781"/>
      <c r="D3" s="781"/>
      <c r="E3" s="781"/>
      <c r="F3" s="781"/>
      <c r="G3" s="781"/>
    </row>
    <row r="4" spans="1:7" ht="12.75">
      <c r="A4" s="781" t="s">
        <v>1</v>
      </c>
      <c r="B4" s="781"/>
      <c r="C4" s="781"/>
      <c r="D4" s="781"/>
      <c r="E4" s="781"/>
      <c r="F4" s="781"/>
      <c r="G4" s="781"/>
    </row>
    <row r="5" spans="1:7" ht="12.75">
      <c r="A5" s="1330" t="s">
        <v>793</v>
      </c>
      <c r="B5" s="1330"/>
      <c r="C5" s="1330"/>
      <c r="D5" s="1330"/>
      <c r="E5" s="1330"/>
      <c r="F5" s="1330"/>
      <c r="G5" s="1330"/>
    </row>
    <row r="6" spans="1:256" ht="12.75">
      <c r="A6" s="781" t="s">
        <v>30</v>
      </c>
      <c r="B6" s="781"/>
      <c r="C6" s="781"/>
      <c r="D6" s="781"/>
      <c r="E6" s="781"/>
      <c r="F6" s="781"/>
      <c r="G6" s="781"/>
      <c r="II6" s="1073" t="s">
        <v>2</v>
      </c>
      <c r="IJ6" s="1073"/>
      <c r="IK6" s="1073"/>
      <c r="IL6" s="1073"/>
      <c r="IM6" s="1073"/>
      <c r="IN6" s="1073"/>
      <c r="IO6" s="143">
        <f>IF($A$7=IP6,1,0)</f>
        <v>0</v>
      </c>
      <c r="IP6" s="1072" t="s">
        <v>547</v>
      </c>
      <c r="IQ6" s="1072"/>
      <c r="IR6" s="1072"/>
      <c r="IS6" s="1072"/>
      <c r="IT6" s="1072"/>
      <c r="IU6" s="1072"/>
      <c r="IV6" s="1072"/>
    </row>
    <row r="7" spans="1:256" ht="12.75">
      <c r="A7" s="1330" t="str">
        <f>+'Informações Iniciais'!A5</f>
        <v>1º Bimestre de 2017</v>
      </c>
      <c r="B7" s="1330"/>
      <c r="C7" s="1330"/>
      <c r="D7" s="1330"/>
      <c r="E7" s="1330"/>
      <c r="F7" s="1330"/>
      <c r="G7" s="1330"/>
      <c r="II7" s="1073"/>
      <c r="IJ7" s="1073"/>
      <c r="IK7" s="1073"/>
      <c r="IL7" s="1073"/>
      <c r="IM7" s="1073"/>
      <c r="IN7" s="1073"/>
      <c r="IT7" s="143">
        <f aca="true" t="shared" si="0" ref="IT7:IT12">IF($A$7=IV7,1,0)</f>
        <v>1</v>
      </c>
      <c r="IV7" s="205" t="s">
        <v>4</v>
      </c>
    </row>
    <row r="8" spans="1:256" ht="15.75">
      <c r="A8" s="1331">
        <f>IF(IT13=1,"","O período acima deve ser escolhido clicando na setinha ao lado da célula. A indicação de período diferente pode comprometer os dados da planilha!!!")</f>
      </c>
      <c r="B8" s="1331"/>
      <c r="C8" s="1331"/>
      <c r="D8" s="1331"/>
      <c r="E8" s="1331"/>
      <c r="F8" s="1331"/>
      <c r="G8" s="1331"/>
      <c r="II8" s="1073"/>
      <c r="IJ8" s="1073"/>
      <c r="IK8" s="1073"/>
      <c r="IL8" s="1073"/>
      <c r="IM8" s="1073"/>
      <c r="IN8" s="1073"/>
      <c r="IT8" s="143">
        <f t="shared" si="0"/>
        <v>0</v>
      </c>
      <c r="IV8" s="205" t="s">
        <v>6</v>
      </c>
    </row>
    <row r="9" spans="1:256" ht="12.75">
      <c r="A9" s="1332" t="s">
        <v>794</v>
      </c>
      <c r="B9" s="1332"/>
      <c r="C9" s="1332"/>
      <c r="D9" s="1332"/>
      <c r="E9" s="1332"/>
      <c r="F9" s="1332"/>
      <c r="G9" s="148" t="s">
        <v>32</v>
      </c>
      <c r="II9" s="1073"/>
      <c r="IJ9" s="1073"/>
      <c r="IK9" s="1073"/>
      <c r="IL9" s="1073"/>
      <c r="IM9" s="1073"/>
      <c r="IN9" s="1073"/>
      <c r="IT9" s="143">
        <f t="shared" si="0"/>
        <v>0</v>
      </c>
      <c r="IV9" s="205" t="s">
        <v>7</v>
      </c>
    </row>
    <row r="10" spans="1:256" ht="12.75">
      <c r="A10" s="149"/>
      <c r="B10" s="1341" t="s">
        <v>34</v>
      </c>
      <c r="C10" s="1341" t="s">
        <v>35</v>
      </c>
      <c r="D10" s="1333" t="s">
        <v>36</v>
      </c>
      <c r="E10" s="1334"/>
      <c r="F10" s="1334"/>
      <c r="G10" s="1334"/>
      <c r="II10" s="1073"/>
      <c r="IJ10" s="1073"/>
      <c r="IK10" s="1073"/>
      <c r="IL10" s="1073"/>
      <c r="IM10" s="1073"/>
      <c r="IN10" s="1073"/>
      <c r="IT10" s="143">
        <f t="shared" si="0"/>
        <v>0</v>
      </c>
      <c r="IV10" s="205" t="s">
        <v>9</v>
      </c>
    </row>
    <row r="11" spans="1:256" ht="12.75">
      <c r="A11" s="150" t="s">
        <v>795</v>
      </c>
      <c r="B11" s="1342"/>
      <c r="C11" s="1342"/>
      <c r="D11" s="1335" t="s">
        <v>40</v>
      </c>
      <c r="E11" s="1336"/>
      <c r="F11" s="1335" t="s">
        <v>39</v>
      </c>
      <c r="G11" s="1337"/>
      <c r="II11" s="1073"/>
      <c r="IJ11" s="1073"/>
      <c r="IK11" s="1073"/>
      <c r="IL11" s="1073"/>
      <c r="IM11" s="1073"/>
      <c r="IN11" s="1073"/>
      <c r="IT11" s="143">
        <f t="shared" si="0"/>
        <v>0</v>
      </c>
      <c r="IV11" s="205" t="s">
        <v>11</v>
      </c>
    </row>
    <row r="12" spans="1:256" ht="12.75">
      <c r="A12" s="152"/>
      <c r="B12" s="1343"/>
      <c r="C12" s="153" t="s">
        <v>41</v>
      </c>
      <c r="D12" s="1338" t="s">
        <v>42</v>
      </c>
      <c r="E12" s="1339"/>
      <c r="F12" s="1338" t="s">
        <v>796</v>
      </c>
      <c r="G12" s="1340"/>
      <c r="II12" s="1073"/>
      <c r="IJ12" s="1073"/>
      <c r="IK12" s="1073"/>
      <c r="IL12" s="1073"/>
      <c r="IM12" s="1073"/>
      <c r="IN12" s="1073"/>
      <c r="IT12" s="143">
        <f t="shared" si="0"/>
        <v>0</v>
      </c>
      <c r="IV12" s="205" t="s">
        <v>13</v>
      </c>
    </row>
    <row r="13" spans="1:254" ht="12.75">
      <c r="A13" s="154" t="s">
        <v>797</v>
      </c>
      <c r="B13" s="155">
        <f>SUM(B14:B21)</f>
        <v>462762.58</v>
      </c>
      <c r="C13" s="155">
        <f>SUM(C14:C21)</f>
        <v>462762.58</v>
      </c>
      <c r="D13" s="1344">
        <f>SUM(D14:D21)</f>
        <v>152786.92</v>
      </c>
      <c r="E13" s="1345"/>
      <c r="F13" s="1346">
        <f>IF(C13="",0,IF(C13=0,0,D13/C13))</f>
        <v>0.33016265057559324</v>
      </c>
      <c r="G13" s="1347"/>
      <c r="IT13" s="143">
        <f>SUM(IT7:IT12)+IO6</f>
        <v>1</v>
      </c>
    </row>
    <row r="14" spans="1:256" ht="12.75">
      <c r="A14" s="156" t="s">
        <v>798</v>
      </c>
      <c r="B14" s="157"/>
      <c r="C14" s="131"/>
      <c r="D14" s="1348"/>
      <c r="E14" s="1349"/>
      <c r="F14" s="1346">
        <f aca="true" t="shared" si="1" ref="F14:F31">IF(C14="",0,IF(C14=0,0,D14/C14))</f>
        <v>0</v>
      </c>
      <c r="G14" s="1347"/>
      <c r="IU14" s="206" t="s">
        <v>553</v>
      </c>
      <c r="IV14" s="143">
        <f>+'Informações Iniciais'!C23</f>
        <v>0</v>
      </c>
    </row>
    <row r="15" spans="1:7" ht="12.75">
      <c r="A15" s="156" t="s">
        <v>799</v>
      </c>
      <c r="B15" s="157"/>
      <c r="C15" s="131"/>
      <c r="D15" s="1348"/>
      <c r="E15" s="1349"/>
      <c r="F15" s="1346">
        <f t="shared" si="1"/>
        <v>0</v>
      </c>
      <c r="G15" s="1347"/>
    </row>
    <row r="16" spans="1:7" ht="12.75">
      <c r="A16" s="156" t="s">
        <v>800</v>
      </c>
      <c r="B16" s="157"/>
      <c r="C16" s="131"/>
      <c r="D16" s="1348"/>
      <c r="E16" s="1349"/>
      <c r="F16" s="1346">
        <f t="shared" si="1"/>
        <v>0</v>
      </c>
      <c r="G16" s="1347"/>
    </row>
    <row r="17" spans="1:7" ht="12.75">
      <c r="A17" s="156" t="s">
        <v>801</v>
      </c>
      <c r="B17" s="157"/>
      <c r="C17" s="131"/>
      <c r="D17" s="1348"/>
      <c r="E17" s="1349"/>
      <c r="F17" s="1346">
        <f t="shared" si="1"/>
        <v>0</v>
      </c>
      <c r="G17" s="1347"/>
    </row>
    <row r="18" spans="1:7" ht="12.75">
      <c r="A18" s="156" t="s">
        <v>802</v>
      </c>
      <c r="B18" s="157"/>
      <c r="C18" s="131"/>
      <c r="D18" s="1348"/>
      <c r="E18" s="1349"/>
      <c r="F18" s="1346">
        <f t="shared" si="1"/>
        <v>0</v>
      </c>
      <c r="G18" s="1347"/>
    </row>
    <row r="19" spans="1:7" ht="12.75">
      <c r="A19" s="156" t="s">
        <v>803</v>
      </c>
      <c r="B19" s="157"/>
      <c r="C19" s="131"/>
      <c r="D19" s="1348"/>
      <c r="E19" s="1349"/>
      <c r="F19" s="1346">
        <f t="shared" si="1"/>
        <v>0</v>
      </c>
      <c r="G19" s="1347"/>
    </row>
    <row r="20" spans="1:7" ht="12.75">
      <c r="A20" s="156" t="s">
        <v>804</v>
      </c>
      <c r="B20" s="157">
        <v>453181.07</v>
      </c>
      <c r="C20" s="131">
        <v>453181.07</v>
      </c>
      <c r="D20" s="1348">
        <v>152786.92</v>
      </c>
      <c r="E20" s="1349"/>
      <c r="F20" s="1346">
        <f t="shared" si="1"/>
        <v>0.33714320856341157</v>
      </c>
      <c r="G20" s="1347"/>
    </row>
    <row r="21" spans="1:7" ht="12.75">
      <c r="A21" s="156" t="s">
        <v>805</v>
      </c>
      <c r="B21" s="157">
        <v>9581.51</v>
      </c>
      <c r="C21" s="131">
        <v>9581.51</v>
      </c>
      <c r="D21" s="1348"/>
      <c r="E21" s="1349"/>
      <c r="F21" s="1346">
        <f t="shared" si="1"/>
        <v>0</v>
      </c>
      <c r="G21" s="1347"/>
    </row>
    <row r="22" spans="1:7" ht="12.75">
      <c r="A22" s="156" t="s">
        <v>806</v>
      </c>
      <c r="B22" s="155">
        <f>SUM(B23:B28)</f>
        <v>3206447.55</v>
      </c>
      <c r="C22" s="155">
        <f>SUM(C23:C28)</f>
        <v>3206447.55</v>
      </c>
      <c r="D22" s="1350">
        <f>SUM(D23:D28)</f>
        <v>1680949.91</v>
      </c>
      <c r="E22" s="1351"/>
      <c r="F22" s="1346">
        <f t="shared" si="1"/>
        <v>0.5242405758360213</v>
      </c>
      <c r="G22" s="1347"/>
    </row>
    <row r="23" spans="1:7" ht="12.75">
      <c r="A23" s="156" t="s">
        <v>807</v>
      </c>
      <c r="B23" s="158">
        <v>8856332.85</v>
      </c>
      <c r="C23" s="131">
        <v>8856332.85</v>
      </c>
      <c r="D23" s="1348">
        <v>1732509.66</v>
      </c>
      <c r="E23" s="1349"/>
      <c r="F23" s="1346">
        <f t="shared" si="1"/>
        <v>0.19562381962642697</v>
      </c>
      <c r="G23" s="1347"/>
    </row>
    <row r="24" spans="1:7" ht="12.75">
      <c r="A24" s="156" t="s">
        <v>808</v>
      </c>
      <c r="B24" s="158"/>
      <c r="C24" s="131"/>
      <c r="D24" s="1348"/>
      <c r="E24" s="1349"/>
      <c r="F24" s="1346">
        <f t="shared" si="1"/>
        <v>0</v>
      </c>
      <c r="G24" s="1347"/>
    </row>
    <row r="25" spans="1:7" ht="12.75">
      <c r="A25" s="156" t="s">
        <v>809</v>
      </c>
      <c r="B25" s="158"/>
      <c r="C25" s="131"/>
      <c r="D25" s="1348"/>
      <c r="E25" s="1349"/>
      <c r="F25" s="1346">
        <f t="shared" si="1"/>
        <v>0</v>
      </c>
      <c r="G25" s="1347"/>
    </row>
    <row r="26" spans="1:7" ht="12.75">
      <c r="A26" s="156" t="s">
        <v>810</v>
      </c>
      <c r="B26" s="158">
        <v>721357.64</v>
      </c>
      <c r="C26" s="131">
        <v>721357.64</v>
      </c>
      <c r="D26" s="1348">
        <v>353874.92</v>
      </c>
      <c r="E26" s="1349"/>
      <c r="F26" s="1346">
        <f t="shared" si="1"/>
        <v>0.4905679241159766</v>
      </c>
      <c r="G26" s="1347"/>
    </row>
    <row r="27" spans="1:7" ht="12.75">
      <c r="A27" s="156" t="s">
        <v>811</v>
      </c>
      <c r="B27" s="158"/>
      <c r="C27" s="131"/>
      <c r="D27" s="1348"/>
      <c r="E27" s="1349"/>
      <c r="F27" s="1346">
        <f t="shared" si="1"/>
        <v>0</v>
      </c>
      <c r="G27" s="1347"/>
    </row>
    <row r="28" spans="1:7" ht="12.75">
      <c r="A28" s="156" t="s">
        <v>812</v>
      </c>
      <c r="B28" s="155">
        <f>SUM(B29:B30)</f>
        <v>-6371242.94</v>
      </c>
      <c r="C28" s="155">
        <f>SUM(C29:C30)</f>
        <v>-6371242.94</v>
      </c>
      <c r="D28" s="1350">
        <f>SUM(D29:D30)</f>
        <v>-405434.67</v>
      </c>
      <c r="E28" s="1351"/>
      <c r="F28" s="1346">
        <f t="shared" si="1"/>
        <v>0.06363509817756219</v>
      </c>
      <c r="G28" s="1347"/>
    </row>
    <row r="29" spans="1:7" ht="12.75">
      <c r="A29" s="156" t="s">
        <v>813</v>
      </c>
      <c r="B29" s="158"/>
      <c r="C29" s="131"/>
      <c r="D29" s="1348"/>
      <c r="E29" s="1349"/>
      <c r="F29" s="1346">
        <f t="shared" si="1"/>
        <v>0</v>
      </c>
      <c r="G29" s="1347"/>
    </row>
    <row r="30" spans="1:7" ht="12.75">
      <c r="A30" s="156" t="s">
        <v>814</v>
      </c>
      <c r="B30" s="158">
        <v>-6371242.94</v>
      </c>
      <c r="C30" s="131">
        <v>-6371242.94</v>
      </c>
      <c r="D30" s="1348">
        <v>-405434.67</v>
      </c>
      <c r="E30" s="1349"/>
      <c r="F30" s="1346">
        <f t="shared" si="1"/>
        <v>0.06363509817756219</v>
      </c>
      <c r="G30" s="1347"/>
    </row>
    <row r="31" spans="1:7" ht="21.75">
      <c r="A31" s="159" t="s">
        <v>815</v>
      </c>
      <c r="B31" s="160">
        <f>B13+B22</f>
        <v>3669210.13</v>
      </c>
      <c r="C31" s="160">
        <f>C13+C22</f>
        <v>3669210.13</v>
      </c>
      <c r="D31" s="1352">
        <f>D13+D22</f>
        <v>1833736.8299999998</v>
      </c>
      <c r="E31" s="1353"/>
      <c r="F31" s="1354">
        <f t="shared" si="1"/>
        <v>0.4997633727779989</v>
      </c>
      <c r="G31" s="1355"/>
    </row>
    <row r="32" spans="1:7" ht="12.75">
      <c r="A32" s="161"/>
      <c r="B32" s="162"/>
      <c r="C32" s="161"/>
      <c r="D32" s="161"/>
      <c r="E32" s="161"/>
      <c r="F32" s="161"/>
      <c r="G32" s="161"/>
    </row>
    <row r="33" spans="1:7" ht="12.75">
      <c r="A33" s="1398" t="s">
        <v>816</v>
      </c>
      <c r="B33" s="1341" t="s">
        <v>34</v>
      </c>
      <c r="C33" s="1341" t="s">
        <v>35</v>
      </c>
      <c r="D33" s="1333" t="s">
        <v>36</v>
      </c>
      <c r="E33" s="1334"/>
      <c r="F33" s="1334"/>
      <c r="G33" s="1334"/>
    </row>
    <row r="34" spans="1:7" ht="12.75">
      <c r="A34" s="1399"/>
      <c r="B34" s="1342"/>
      <c r="C34" s="1342"/>
      <c r="D34" s="1335" t="s">
        <v>40</v>
      </c>
      <c r="E34" s="1336"/>
      <c r="F34" s="1335" t="s">
        <v>39</v>
      </c>
      <c r="G34" s="1337"/>
    </row>
    <row r="35" spans="1:7" ht="12.75">
      <c r="A35" s="1400"/>
      <c r="B35" s="1343"/>
      <c r="C35" s="153" t="s">
        <v>44</v>
      </c>
      <c r="D35" s="1338" t="s">
        <v>126</v>
      </c>
      <c r="E35" s="1339"/>
      <c r="F35" s="1338" t="s">
        <v>817</v>
      </c>
      <c r="G35" s="1340"/>
    </row>
    <row r="36" spans="1:7" ht="12.75">
      <c r="A36" s="163" t="s">
        <v>818</v>
      </c>
      <c r="B36" s="164">
        <f>SUM(B37:B40)</f>
        <v>0</v>
      </c>
      <c r="C36" s="164">
        <f>SUM(C37:C40)</f>
        <v>0</v>
      </c>
      <c r="D36" s="1344">
        <f>SUM(D37:D40)</f>
        <v>0</v>
      </c>
      <c r="E36" s="1345"/>
      <c r="F36" s="1346">
        <f aca="true" t="shared" si="2" ref="F36:F44">IF(C36="",0,IF(C36=0,0,D36/C36))</f>
        <v>0</v>
      </c>
      <c r="G36" s="1347"/>
    </row>
    <row r="37" spans="1:7" ht="12.75">
      <c r="A37" s="163" t="s">
        <v>819</v>
      </c>
      <c r="B37" s="165"/>
      <c r="C37" s="131"/>
      <c r="D37" s="1348"/>
      <c r="E37" s="1349"/>
      <c r="F37" s="1346">
        <f t="shared" si="2"/>
        <v>0</v>
      </c>
      <c r="G37" s="1347"/>
    </row>
    <row r="38" spans="1:7" ht="12.75">
      <c r="A38" s="163" t="s">
        <v>820</v>
      </c>
      <c r="B38" s="165"/>
      <c r="C38" s="131"/>
      <c r="D38" s="1348"/>
      <c r="E38" s="1349"/>
      <c r="F38" s="1346">
        <f t="shared" si="2"/>
        <v>0</v>
      </c>
      <c r="G38" s="1347"/>
    </row>
    <row r="39" spans="1:7" ht="12.75">
      <c r="A39" s="163" t="s">
        <v>821</v>
      </c>
      <c r="B39" s="165"/>
      <c r="C39" s="131"/>
      <c r="D39" s="1348"/>
      <c r="E39" s="1349"/>
      <c r="F39" s="1346">
        <f t="shared" si="2"/>
        <v>0</v>
      </c>
      <c r="G39" s="1347"/>
    </row>
    <row r="40" spans="1:7" ht="12.75">
      <c r="A40" s="163" t="s">
        <v>822</v>
      </c>
      <c r="B40" s="165"/>
      <c r="C40" s="131"/>
      <c r="D40" s="1348"/>
      <c r="E40" s="1349"/>
      <c r="F40" s="1346">
        <f t="shared" si="2"/>
        <v>0</v>
      </c>
      <c r="G40" s="1347"/>
    </row>
    <row r="41" spans="1:7" ht="12.75">
      <c r="A41" s="163" t="s">
        <v>823</v>
      </c>
      <c r="B41" s="165"/>
      <c r="C41" s="131"/>
      <c r="D41" s="1348"/>
      <c r="E41" s="1349"/>
      <c r="F41" s="1346">
        <f t="shared" si="2"/>
        <v>0</v>
      </c>
      <c r="G41" s="1347"/>
    </row>
    <row r="42" spans="1:7" ht="12.75">
      <c r="A42" s="166" t="s">
        <v>824</v>
      </c>
      <c r="B42" s="165"/>
      <c r="C42" s="131"/>
      <c r="D42" s="1348"/>
      <c r="E42" s="1349"/>
      <c r="F42" s="1346">
        <f t="shared" si="2"/>
        <v>0</v>
      </c>
      <c r="G42" s="1347"/>
    </row>
    <row r="43" spans="1:7" ht="12.75">
      <c r="A43" s="167" t="s">
        <v>825</v>
      </c>
      <c r="B43" s="168"/>
      <c r="C43" s="169"/>
      <c r="D43" s="1348"/>
      <c r="E43" s="1349"/>
      <c r="F43" s="1346">
        <f t="shared" si="2"/>
        <v>0</v>
      </c>
      <c r="G43" s="1347"/>
    </row>
    <row r="44" spans="1:7" ht="12.75">
      <c r="A44" s="170" t="s">
        <v>826</v>
      </c>
      <c r="B44" s="171">
        <f>B36+B41+B42+B43</f>
        <v>0</v>
      </c>
      <c r="C44" s="171">
        <f>C36+C41+C42+C43</f>
        <v>0</v>
      </c>
      <c r="D44" s="1356">
        <f>D36+D41+D42+D43</f>
        <v>0</v>
      </c>
      <c r="E44" s="1357"/>
      <c r="F44" s="1354">
        <f t="shared" si="2"/>
        <v>0</v>
      </c>
      <c r="G44" s="1355"/>
    </row>
    <row r="45" spans="1:8" ht="12.75">
      <c r="A45" s="162"/>
      <c r="B45" s="162"/>
      <c r="C45" s="162"/>
      <c r="D45" s="162"/>
      <c r="E45" s="162"/>
      <c r="F45" s="172"/>
      <c r="G45" s="172"/>
      <c r="H45" s="173"/>
    </row>
    <row r="46" spans="1:8" ht="15.75" customHeight="1">
      <c r="A46" s="1401" t="s">
        <v>827</v>
      </c>
      <c r="B46" s="1341" t="s">
        <v>119</v>
      </c>
      <c r="C46" s="1341" t="s">
        <v>120</v>
      </c>
      <c r="D46" s="1358" t="s">
        <v>121</v>
      </c>
      <c r="E46" s="1359"/>
      <c r="F46" s="1358" t="s">
        <v>122</v>
      </c>
      <c r="G46" s="1359"/>
      <c r="H46" s="1361" t="s">
        <v>828</v>
      </c>
    </row>
    <row r="47" spans="1:8" ht="15.75" customHeight="1">
      <c r="A47" s="1402"/>
      <c r="B47" s="1342"/>
      <c r="C47" s="1342"/>
      <c r="D47" s="174" t="s">
        <v>40</v>
      </c>
      <c r="E47" s="175" t="s">
        <v>39</v>
      </c>
      <c r="F47" s="174" t="s">
        <v>40</v>
      </c>
      <c r="G47" s="175" t="s">
        <v>39</v>
      </c>
      <c r="H47" s="1362"/>
    </row>
    <row r="48" spans="1:8" ht="15.75" customHeight="1">
      <c r="A48" s="176" t="s">
        <v>829</v>
      </c>
      <c r="B48" s="1343"/>
      <c r="C48" s="177" t="s">
        <v>127</v>
      </c>
      <c r="D48" s="178" t="s">
        <v>128</v>
      </c>
      <c r="E48" s="179" t="s">
        <v>830</v>
      </c>
      <c r="F48" s="178" t="s">
        <v>613</v>
      </c>
      <c r="G48" s="179" t="s">
        <v>831</v>
      </c>
      <c r="H48" s="1363"/>
    </row>
    <row r="49" spans="1:8" ht="12.75">
      <c r="A49" s="180" t="s">
        <v>832</v>
      </c>
      <c r="B49" s="181">
        <f>SUM(B50:B52)</f>
        <v>7416953.25</v>
      </c>
      <c r="C49" s="181">
        <f aca="true" t="shared" si="3" ref="C49:H49">SUM(C50:C52)</f>
        <v>7443760.65</v>
      </c>
      <c r="D49" s="181">
        <f t="shared" si="3"/>
        <v>388975.92</v>
      </c>
      <c r="E49" s="182">
        <f aca="true" t="shared" si="4" ref="E49:G57">IF($C49="",0,IF($C49=0,0,D49/$C49))</f>
        <v>0.052255296521389355</v>
      </c>
      <c r="F49" s="183">
        <f t="shared" si="3"/>
        <v>388975.92</v>
      </c>
      <c r="G49" s="184">
        <f t="shared" si="4"/>
        <v>0.052255296521389355</v>
      </c>
      <c r="H49" s="164">
        <f t="shared" si="3"/>
        <v>0</v>
      </c>
    </row>
    <row r="50" spans="1:8" ht="12.75">
      <c r="A50" s="161" t="s">
        <v>508</v>
      </c>
      <c r="B50" s="158">
        <v>3782849.25</v>
      </c>
      <c r="C50" s="158">
        <v>3809656.65</v>
      </c>
      <c r="D50" s="158">
        <v>374806.04</v>
      </c>
      <c r="E50" s="185">
        <f t="shared" si="4"/>
        <v>0.09838315481790202</v>
      </c>
      <c r="F50" s="186">
        <v>374806.04</v>
      </c>
      <c r="G50" s="184">
        <f t="shared" si="4"/>
        <v>0.09838315481790202</v>
      </c>
      <c r="H50" s="131"/>
    </row>
    <row r="51" spans="1:8" ht="12.75">
      <c r="A51" s="161" t="s">
        <v>833</v>
      </c>
      <c r="B51" s="158"/>
      <c r="C51" s="158"/>
      <c r="D51" s="158"/>
      <c r="E51" s="185">
        <f t="shared" si="4"/>
        <v>0</v>
      </c>
      <c r="F51" s="187"/>
      <c r="G51" s="184">
        <f t="shared" si="4"/>
        <v>0</v>
      </c>
      <c r="H51" s="131"/>
    </row>
    <row r="52" spans="1:8" ht="12.75">
      <c r="A52" s="161" t="s">
        <v>510</v>
      </c>
      <c r="B52" s="158">
        <v>3634104</v>
      </c>
      <c r="C52" s="158">
        <v>3634104</v>
      </c>
      <c r="D52" s="158">
        <v>14169.88</v>
      </c>
      <c r="E52" s="185">
        <f t="shared" si="4"/>
        <v>0.0038991399255497365</v>
      </c>
      <c r="F52" s="187">
        <v>14169.88</v>
      </c>
      <c r="G52" s="184">
        <f t="shared" si="4"/>
        <v>0.0038991399255497365</v>
      </c>
      <c r="H52" s="131"/>
    </row>
    <row r="53" spans="1:8" ht="12.75">
      <c r="A53" s="161" t="s">
        <v>739</v>
      </c>
      <c r="B53" s="155">
        <f>SUM(B54:B56)</f>
        <v>1459741.5</v>
      </c>
      <c r="C53" s="155">
        <f aca="true" t="shared" si="5" ref="C53:H53">SUM(C54:C56)</f>
        <v>1459741.5</v>
      </c>
      <c r="D53" s="155">
        <f t="shared" si="5"/>
        <v>0</v>
      </c>
      <c r="E53" s="185">
        <f t="shared" si="4"/>
        <v>0</v>
      </c>
      <c r="F53" s="188">
        <f t="shared" si="5"/>
        <v>0</v>
      </c>
      <c r="G53" s="184">
        <f t="shared" si="4"/>
        <v>0</v>
      </c>
      <c r="H53" s="189">
        <f t="shared" si="5"/>
        <v>0</v>
      </c>
    </row>
    <row r="54" spans="1:8" ht="12.75">
      <c r="A54" s="147" t="s">
        <v>834</v>
      </c>
      <c r="B54" s="158">
        <v>1459741.5</v>
      </c>
      <c r="C54" s="113">
        <v>1459741.5</v>
      </c>
      <c r="D54" s="115"/>
      <c r="E54" s="185">
        <f t="shared" si="4"/>
        <v>0</v>
      </c>
      <c r="F54" s="114"/>
      <c r="G54" s="184">
        <f t="shared" si="4"/>
        <v>0</v>
      </c>
      <c r="H54" s="190"/>
    </row>
    <row r="55" spans="1:8" ht="12.75">
      <c r="A55" s="147" t="s">
        <v>514</v>
      </c>
      <c r="B55" s="158"/>
      <c r="C55" s="113"/>
      <c r="D55" s="115"/>
      <c r="E55" s="185">
        <f t="shared" si="4"/>
        <v>0</v>
      </c>
      <c r="F55" s="114"/>
      <c r="G55" s="184">
        <f t="shared" si="4"/>
        <v>0</v>
      </c>
      <c r="H55" s="190"/>
    </row>
    <row r="56" spans="1:8" ht="12.75">
      <c r="A56" s="147" t="s">
        <v>835</v>
      </c>
      <c r="B56" s="158"/>
      <c r="C56" s="113"/>
      <c r="D56" s="115"/>
      <c r="E56" s="191">
        <f t="shared" si="4"/>
        <v>0</v>
      </c>
      <c r="F56" s="114"/>
      <c r="G56" s="184">
        <f t="shared" si="4"/>
        <v>0</v>
      </c>
      <c r="H56" s="192"/>
    </row>
    <row r="57" spans="1:256" ht="12.75">
      <c r="A57" s="193" t="s">
        <v>836</v>
      </c>
      <c r="B57" s="194">
        <f>B49+B53</f>
        <v>8876694.75</v>
      </c>
      <c r="C57" s="194">
        <f aca="true" t="shared" si="6" ref="C57:H57">C49+C53</f>
        <v>8903502.15</v>
      </c>
      <c r="D57" s="194">
        <f t="shared" si="6"/>
        <v>388975.92</v>
      </c>
      <c r="E57" s="195">
        <f t="shared" si="4"/>
        <v>0.04368796833502196</v>
      </c>
      <c r="F57" s="194">
        <f t="shared" si="6"/>
        <v>388975.92</v>
      </c>
      <c r="G57" s="195">
        <f t="shared" si="4"/>
        <v>0.04368796833502196</v>
      </c>
      <c r="H57" s="135">
        <f t="shared" si="6"/>
        <v>0</v>
      </c>
      <c r="IR57" s="207"/>
      <c r="IS57" s="207"/>
      <c r="IT57" s="207"/>
      <c r="IU57" s="206" t="s">
        <v>837</v>
      </c>
      <c r="IV57" s="143">
        <f>IF($A$7=$IV$12,IF(D57&lt;&gt;(F57+H57),0,1),1)</f>
        <v>1</v>
      </c>
    </row>
    <row r="58" spans="1:254" ht="15.75">
      <c r="A58" s="1360">
        <f>IF(IV57=0,"O total das DESPESAS EMPENHADAS deve ser igual ao somatório das DESPESAS LIQUIDADAS e Inscritas em Restos a Pagar não Processados. Verifique os valores acima!!!","")</f>
      </c>
      <c r="B58" s="1360"/>
      <c r="C58" s="1360"/>
      <c r="D58" s="1360"/>
      <c r="E58" s="1360"/>
      <c r="F58" s="1360"/>
      <c r="G58" s="1360"/>
      <c r="H58" s="1360"/>
      <c r="IT58" s="208"/>
    </row>
    <row r="59" spans="1:8" ht="15" customHeight="1">
      <c r="A59" s="1403" t="s">
        <v>838</v>
      </c>
      <c r="B59" s="1341" t="s">
        <v>119</v>
      </c>
      <c r="C59" s="1341" t="s">
        <v>120</v>
      </c>
      <c r="D59" s="1358" t="s">
        <v>121</v>
      </c>
      <c r="E59" s="1359"/>
      <c r="F59" s="1358" t="s">
        <v>122</v>
      </c>
      <c r="G59" s="1359"/>
      <c r="H59" s="1361" t="s">
        <v>828</v>
      </c>
    </row>
    <row r="60" spans="1:8" ht="15" customHeight="1">
      <c r="A60" s="1404"/>
      <c r="B60" s="1342"/>
      <c r="C60" s="1342"/>
      <c r="D60" s="174" t="s">
        <v>40</v>
      </c>
      <c r="E60" s="175" t="s">
        <v>39</v>
      </c>
      <c r="F60" s="174" t="s">
        <v>40</v>
      </c>
      <c r="G60" s="175" t="s">
        <v>39</v>
      </c>
      <c r="H60" s="1362"/>
    </row>
    <row r="61" spans="1:8" ht="15" customHeight="1">
      <c r="A61" s="1405"/>
      <c r="B61" s="1343"/>
      <c r="C61" s="1343"/>
      <c r="D61" s="178" t="s">
        <v>130</v>
      </c>
      <c r="E61" s="196" t="s">
        <v>839</v>
      </c>
      <c r="F61" s="178" t="s">
        <v>615</v>
      </c>
      <c r="G61" s="196" t="s">
        <v>840</v>
      </c>
      <c r="H61" s="1363"/>
    </row>
    <row r="62" spans="1:8" ht="12.75">
      <c r="A62" s="197" t="s">
        <v>841</v>
      </c>
      <c r="B62" s="198"/>
      <c r="C62" s="199"/>
      <c r="D62" s="113"/>
      <c r="E62" s="182">
        <f>IF($D$57="",0,IF($D$57=0,0,D62/$D$57))</f>
        <v>0</v>
      </c>
      <c r="F62" s="114"/>
      <c r="G62" s="182">
        <f>IF($F$57="",0,IF($F$57=0,0,F62/$F$57))</f>
        <v>0</v>
      </c>
      <c r="H62" s="190"/>
    </row>
    <row r="63" spans="1:8" ht="12.75">
      <c r="A63" s="200" t="s">
        <v>842</v>
      </c>
      <c r="B63" s="201"/>
      <c r="C63" s="202"/>
      <c r="D63" s="113"/>
      <c r="E63" s="185">
        <f aca="true" t="shared" si="7" ref="E63:E72">IF($D$57="",0,IF($D$57=0,0,D63/$D$57))</f>
        <v>0</v>
      </c>
      <c r="F63" s="128"/>
      <c r="G63" s="185">
        <f aca="true" t="shared" si="8" ref="G63:G72">IF($F$57="",0,IF($F$57=0,0,F63/$F$57))</f>
        <v>0</v>
      </c>
      <c r="H63" s="190"/>
    </row>
    <row r="64" spans="1:8" ht="12.75">
      <c r="A64" s="200" t="s">
        <v>843</v>
      </c>
      <c r="B64" s="203">
        <f>SUM(B65:B67)</f>
        <v>0</v>
      </c>
      <c r="C64" s="203">
        <f aca="true" t="shared" si="9" ref="C64:H64">SUM(C65:C67)</f>
        <v>0</v>
      </c>
      <c r="D64" s="203">
        <f t="shared" si="9"/>
        <v>0</v>
      </c>
      <c r="E64" s="185">
        <f t="shared" si="7"/>
        <v>0</v>
      </c>
      <c r="F64" s="203">
        <f t="shared" si="9"/>
        <v>0</v>
      </c>
      <c r="G64" s="185">
        <f t="shared" si="8"/>
        <v>0</v>
      </c>
      <c r="H64" s="204">
        <f t="shared" si="9"/>
        <v>0</v>
      </c>
    </row>
    <row r="65" spans="1:8" ht="12.75">
      <c r="A65" s="209" t="s">
        <v>844</v>
      </c>
      <c r="B65" s="189">
        <f>+B36</f>
        <v>0</v>
      </c>
      <c r="C65" s="189">
        <f>+C36</f>
        <v>0</v>
      </c>
      <c r="D65" s="189">
        <f>+D36</f>
        <v>0</v>
      </c>
      <c r="E65" s="185">
        <f t="shared" si="7"/>
        <v>0</v>
      </c>
      <c r="F65" s="128"/>
      <c r="G65" s="185">
        <f t="shared" si="8"/>
        <v>0</v>
      </c>
      <c r="H65" s="190"/>
    </row>
    <row r="66" spans="1:8" ht="12.75">
      <c r="A66" s="209" t="s">
        <v>845</v>
      </c>
      <c r="B66" s="131"/>
      <c r="C66" s="131"/>
      <c r="D66" s="113"/>
      <c r="E66" s="185">
        <f t="shared" si="7"/>
        <v>0</v>
      </c>
      <c r="F66" s="128"/>
      <c r="G66" s="185">
        <f t="shared" si="8"/>
        <v>0</v>
      </c>
      <c r="H66" s="190"/>
    </row>
    <row r="67" spans="1:8" ht="12.75">
      <c r="A67" s="210" t="s">
        <v>846</v>
      </c>
      <c r="B67" s="131"/>
      <c r="C67" s="131"/>
      <c r="D67" s="131"/>
      <c r="E67" s="185">
        <f t="shared" si="7"/>
        <v>0</v>
      </c>
      <c r="F67" s="211"/>
      <c r="G67" s="185">
        <f t="shared" si="8"/>
        <v>0</v>
      </c>
      <c r="H67" s="190"/>
    </row>
    <row r="68" spans="1:8" ht="12.75">
      <c r="A68" s="212" t="s">
        <v>847</v>
      </c>
      <c r="B68" s="131"/>
      <c r="C68" s="131"/>
      <c r="D68" s="131"/>
      <c r="E68" s="185">
        <f t="shared" si="7"/>
        <v>0</v>
      </c>
      <c r="F68" s="211"/>
      <c r="G68" s="185">
        <f t="shared" si="8"/>
        <v>0</v>
      </c>
      <c r="H68" s="190"/>
    </row>
    <row r="69" spans="1:8" ht="23.25">
      <c r="A69" s="213" t="s">
        <v>848</v>
      </c>
      <c r="B69" s="214"/>
      <c r="C69" s="214"/>
      <c r="D69" s="131"/>
      <c r="E69" s="185">
        <f t="shared" si="7"/>
        <v>0</v>
      </c>
      <c r="F69" s="215"/>
      <c r="G69" s="185">
        <f t="shared" si="8"/>
        <v>0</v>
      </c>
      <c r="H69" s="190"/>
    </row>
    <row r="70" spans="1:8" ht="12.75">
      <c r="A70" s="216" t="s">
        <v>849</v>
      </c>
      <c r="B70" s="131"/>
      <c r="C70" s="131"/>
      <c r="D70" s="131"/>
      <c r="E70" s="185">
        <f t="shared" si="7"/>
        <v>0</v>
      </c>
      <c r="F70" s="211"/>
      <c r="G70" s="185">
        <f t="shared" si="8"/>
        <v>0</v>
      </c>
      <c r="H70" s="190"/>
    </row>
    <row r="71" spans="1:8" ht="24" customHeight="1">
      <c r="A71" s="217" t="s">
        <v>850</v>
      </c>
      <c r="B71" s="131"/>
      <c r="C71" s="131"/>
      <c r="D71" s="131"/>
      <c r="E71" s="191">
        <f t="shared" si="7"/>
        <v>0</v>
      </c>
      <c r="F71" s="211"/>
      <c r="G71" s="191">
        <f t="shared" si="8"/>
        <v>0</v>
      </c>
      <c r="H71" s="192"/>
    </row>
    <row r="72" spans="1:256" ht="12.75">
      <c r="A72" s="218" t="s">
        <v>851</v>
      </c>
      <c r="B72" s="135">
        <f>SUM(B62:B64,B68:B71)</f>
        <v>0</v>
      </c>
      <c r="C72" s="135">
        <f aca="true" t="shared" si="10" ref="C72:H72">SUM(C62:C64,C68:C71)</f>
        <v>0</v>
      </c>
      <c r="D72" s="135">
        <f t="shared" si="10"/>
        <v>0</v>
      </c>
      <c r="E72" s="195">
        <f t="shared" si="7"/>
        <v>0</v>
      </c>
      <c r="F72" s="135">
        <f t="shared" si="10"/>
        <v>0</v>
      </c>
      <c r="G72" s="195">
        <f t="shared" si="8"/>
        <v>0</v>
      </c>
      <c r="H72" s="135">
        <f t="shared" si="10"/>
        <v>0</v>
      </c>
      <c r="IR72" s="207"/>
      <c r="IS72" s="207"/>
      <c r="IT72" s="207"/>
      <c r="IU72" s="206" t="s">
        <v>837</v>
      </c>
      <c r="IV72" s="143">
        <f>IF($A$7=$IV$12,IF(D72&lt;&gt;(F72+H72),0,1),1)</f>
        <v>1</v>
      </c>
    </row>
    <row r="73" spans="1:254" ht="15.75">
      <c r="A73" s="1360">
        <f>IF(IV72=0,"O total das DESPESAS EMPENHADAS deve ser igual ao somatório das DESPESAS LIQUIDADAS e Inscritas em Restos a Pagar não Processados. Verifique os valores acima!!!","")</f>
      </c>
      <c r="B73" s="1360"/>
      <c r="C73" s="1360"/>
      <c r="D73" s="1360"/>
      <c r="E73" s="1360"/>
      <c r="F73" s="1360"/>
      <c r="G73" s="1360"/>
      <c r="H73" s="1360"/>
      <c r="IT73" s="208"/>
    </row>
    <row r="74" spans="1:8" ht="12.75">
      <c r="A74" s="219" t="s">
        <v>852</v>
      </c>
      <c r="B74" s="220">
        <f>B57-B72</f>
        <v>8876694.75</v>
      </c>
      <c r="C74" s="220">
        <f>C57-C72</f>
        <v>8903502.15</v>
      </c>
      <c r="D74" s="220">
        <f>D57-D72</f>
        <v>388975.92</v>
      </c>
      <c r="E74" s="221"/>
      <c r="F74" s="220">
        <f>F57-F72</f>
        <v>388975.92</v>
      </c>
      <c r="G74" s="221"/>
      <c r="H74" s="220">
        <f>H57-H72</f>
        <v>0</v>
      </c>
    </row>
    <row r="75" spans="1:8" ht="15" customHeight="1">
      <c r="A75" s="222"/>
      <c r="B75" s="180"/>
      <c r="C75" s="223"/>
      <c r="D75" s="161"/>
      <c r="E75" s="161"/>
      <c r="F75" s="146"/>
      <c r="G75" s="224"/>
      <c r="H75" s="225"/>
    </row>
    <row r="76" spans="1:256" ht="24.75" customHeight="1">
      <c r="A76" s="1364" t="s">
        <v>853</v>
      </c>
      <c r="B76" s="1364"/>
      <c r="C76" s="1364"/>
      <c r="D76" s="1365"/>
      <c r="E76" s="1366">
        <f>IF(IV76=3,IF(D$31="",0,IF(D$31=0,0,IF(A$7=IV$12,D$74/D$31,F$74/D$31))),IF(IV76=4,"Verifique o preenchimento da planilha INFORMAÇÕES INICIAIS","HÁ ERROS ACIMA. VERIFIQUE!!!"))</f>
        <v>0.2121219978986843</v>
      </c>
      <c r="F76" s="1367"/>
      <c r="G76" s="1367"/>
      <c r="H76" s="1367"/>
      <c r="IU76" s="206" t="s">
        <v>854</v>
      </c>
      <c r="IV76" s="143">
        <f>+IV72+IV57+IT13+IV14</f>
        <v>3</v>
      </c>
    </row>
    <row r="77" spans="1:8" ht="13.5" customHeight="1">
      <c r="A77" s="219"/>
      <c r="B77" s="219"/>
      <c r="C77" s="219"/>
      <c r="D77" s="219"/>
      <c r="E77" s="163"/>
      <c r="F77" s="172"/>
      <c r="G77" s="226"/>
      <c r="H77" s="227"/>
    </row>
    <row r="78" spans="1:8" ht="17.25" customHeight="1">
      <c r="A78" s="1364" t="s">
        <v>855</v>
      </c>
      <c r="B78" s="1364"/>
      <c r="C78" s="1364"/>
      <c r="D78" s="1365"/>
      <c r="E78" s="1368">
        <f>IF(D$31="",0,IF(D$31=0,0,IF(A$7=IV$12,D$74-D$31*0.15,F$74-D$31*0.15)))</f>
        <v>113915.39550000004</v>
      </c>
      <c r="F78" s="1369"/>
      <c r="G78" s="1369"/>
      <c r="H78" s="1369"/>
    </row>
    <row r="79" spans="1:8" ht="17.25" customHeight="1">
      <c r="A79" s="228"/>
      <c r="B79" s="228"/>
      <c r="C79" s="228"/>
      <c r="D79" s="228"/>
      <c r="E79" s="163"/>
      <c r="F79" s="172"/>
      <c r="G79" s="224"/>
      <c r="H79" s="225"/>
    </row>
    <row r="80" spans="1:8" ht="11.25" customHeight="1">
      <c r="A80" s="1374" t="s">
        <v>856</v>
      </c>
      <c r="B80" s="1406"/>
      <c r="C80" s="1374" t="s">
        <v>857</v>
      </c>
      <c r="D80" s="1341" t="s">
        <v>858</v>
      </c>
      <c r="E80" s="1341" t="s">
        <v>859</v>
      </c>
      <c r="F80" s="1341" t="s">
        <v>860</v>
      </c>
      <c r="G80" s="1374" t="s">
        <v>861</v>
      </c>
      <c r="H80" s="1375"/>
    </row>
    <row r="81" spans="1:8" ht="23.25" customHeight="1">
      <c r="A81" s="1376"/>
      <c r="B81" s="1407"/>
      <c r="C81" s="1376"/>
      <c r="D81" s="1343"/>
      <c r="E81" s="1343"/>
      <c r="F81" s="1343"/>
      <c r="G81" s="1376"/>
      <c r="H81" s="1377"/>
    </row>
    <row r="82" spans="1:8" ht="15" customHeight="1">
      <c r="A82" s="1370" t="s">
        <v>862</v>
      </c>
      <c r="B82" s="1371"/>
      <c r="C82" s="230"/>
      <c r="D82" s="231"/>
      <c r="E82" s="232"/>
      <c r="F82" s="233"/>
      <c r="G82" s="1372"/>
      <c r="H82" s="1373"/>
    </row>
    <row r="83" spans="1:8" ht="12" customHeight="1">
      <c r="A83" s="1378" t="s">
        <v>863</v>
      </c>
      <c r="B83" s="1379"/>
      <c r="C83" s="236"/>
      <c r="D83" s="237"/>
      <c r="E83" s="158"/>
      <c r="F83" s="187"/>
      <c r="G83" s="1348"/>
      <c r="H83" s="1380"/>
    </row>
    <row r="84" spans="1:8" ht="12" customHeight="1">
      <c r="A84" s="234" t="s">
        <v>864</v>
      </c>
      <c r="B84" s="235"/>
      <c r="C84" s="236"/>
      <c r="D84" s="237"/>
      <c r="E84" s="158"/>
      <c r="F84" s="187"/>
      <c r="G84" s="1348"/>
      <c r="H84" s="1380"/>
    </row>
    <row r="85" spans="1:8" ht="11.25" customHeight="1">
      <c r="A85" s="238" t="s">
        <v>865</v>
      </c>
      <c r="B85" s="235"/>
      <c r="C85" s="236"/>
      <c r="D85" s="237"/>
      <c r="E85" s="115"/>
      <c r="F85" s="114"/>
      <c r="G85" s="1348"/>
      <c r="H85" s="1380"/>
    </row>
    <row r="86" spans="1:8" ht="12.75" customHeight="1">
      <c r="A86" s="1381" t="s">
        <v>866</v>
      </c>
      <c r="B86" s="1382"/>
      <c r="C86" s="239">
        <f>SUM(C82:C85)</f>
        <v>0</v>
      </c>
      <c r="D86" s="239">
        <f>SUM(D82:D85)</f>
        <v>0</v>
      </c>
      <c r="E86" s="239">
        <f>SUM(E82:E85)</f>
        <v>0</v>
      </c>
      <c r="F86" s="239">
        <f>SUM(F82:F85)</f>
        <v>0</v>
      </c>
      <c r="G86" s="1383">
        <f>SUM(G82:G85)</f>
        <v>0</v>
      </c>
      <c r="H86" s="1384"/>
    </row>
    <row r="87" spans="1:8" ht="12.75" customHeight="1">
      <c r="A87" s="240"/>
      <c r="B87" s="161"/>
      <c r="C87" s="241"/>
      <c r="D87" s="242"/>
      <c r="E87" s="242"/>
      <c r="F87" s="224"/>
      <c r="G87" s="224"/>
      <c r="H87" s="225"/>
    </row>
    <row r="88" spans="1:8" ht="12.75" customHeight="1">
      <c r="A88" s="1375" t="s">
        <v>867</v>
      </c>
      <c r="B88" s="1406"/>
      <c r="C88" s="1408" t="s">
        <v>868</v>
      </c>
      <c r="D88" s="1409"/>
      <c r="E88" s="1409"/>
      <c r="F88" s="1409"/>
      <c r="G88" s="1409"/>
      <c r="H88" s="1409"/>
    </row>
    <row r="89" spans="1:8" ht="15.75" customHeight="1">
      <c r="A89" s="1409"/>
      <c r="B89" s="1410"/>
      <c r="C89" s="1376"/>
      <c r="D89" s="1377"/>
      <c r="E89" s="1377"/>
      <c r="F89" s="1377"/>
      <c r="G89" s="1377"/>
      <c r="H89" s="1377"/>
    </row>
    <row r="90" spans="1:8" ht="14.25" customHeight="1">
      <c r="A90" s="1409"/>
      <c r="B90" s="1410"/>
      <c r="C90" s="1374" t="s">
        <v>869</v>
      </c>
      <c r="D90" s="1406"/>
      <c r="E90" s="1408" t="s">
        <v>870</v>
      </c>
      <c r="F90" s="1409"/>
      <c r="G90" s="1374" t="s">
        <v>871</v>
      </c>
      <c r="H90" s="1375"/>
    </row>
    <row r="91" spans="1:8" ht="13.5" customHeight="1">
      <c r="A91" s="1409"/>
      <c r="B91" s="1410"/>
      <c r="C91" s="1408"/>
      <c r="D91" s="1410"/>
      <c r="E91" s="1408"/>
      <c r="F91" s="1409"/>
      <c r="G91" s="1408"/>
      <c r="H91" s="1409"/>
    </row>
    <row r="92" spans="1:8" ht="12" customHeight="1">
      <c r="A92" s="1377"/>
      <c r="B92" s="1407"/>
      <c r="C92" s="1376"/>
      <c r="D92" s="1407"/>
      <c r="E92" s="1376" t="s">
        <v>132</v>
      </c>
      <c r="F92" s="1377"/>
      <c r="G92" s="1376"/>
      <c r="H92" s="1377"/>
    </row>
    <row r="93" spans="1:8" ht="13.5" customHeight="1">
      <c r="A93" s="243" t="s">
        <v>872</v>
      </c>
      <c r="B93" s="244"/>
      <c r="C93" s="1385"/>
      <c r="D93" s="1386"/>
      <c r="E93" s="1385"/>
      <c r="F93" s="1386"/>
      <c r="G93" s="1385"/>
      <c r="H93" s="1386"/>
    </row>
    <row r="94" spans="1:8" ht="13.5" customHeight="1">
      <c r="A94" s="245" t="s">
        <v>863</v>
      </c>
      <c r="B94" s="246"/>
      <c r="C94" s="1387"/>
      <c r="D94" s="1388"/>
      <c r="E94" s="1387"/>
      <c r="F94" s="1388"/>
      <c r="G94" s="1387"/>
      <c r="H94" s="1388"/>
    </row>
    <row r="95" spans="1:8" ht="13.5" customHeight="1">
      <c r="A95" s="245" t="s">
        <v>873</v>
      </c>
      <c r="B95" s="246"/>
      <c r="C95" s="1387"/>
      <c r="D95" s="1388"/>
      <c r="E95" s="1387"/>
      <c r="F95" s="1388"/>
      <c r="G95" s="1387"/>
      <c r="H95" s="1388"/>
    </row>
    <row r="96" spans="1:8" ht="27" customHeight="1">
      <c r="A96" s="245" t="s">
        <v>874</v>
      </c>
      <c r="B96" s="246"/>
      <c r="C96" s="1387"/>
      <c r="D96" s="1388"/>
      <c r="E96" s="1387"/>
      <c r="F96" s="1388"/>
      <c r="G96" s="1387"/>
      <c r="H96" s="1388"/>
    </row>
    <row r="97" spans="1:8" ht="13.5" customHeight="1">
      <c r="A97" s="247" t="s">
        <v>875</v>
      </c>
      <c r="B97" s="248"/>
      <c r="C97" s="1389">
        <f>SUM(C93:D96)</f>
        <v>0</v>
      </c>
      <c r="D97" s="1390"/>
      <c r="E97" s="1389">
        <f>SUM(E93:F96)</f>
        <v>0</v>
      </c>
      <c r="F97" s="1390"/>
      <c r="G97" s="1389">
        <f>SUM(G93:H96)</f>
        <v>0</v>
      </c>
      <c r="H97" s="1390"/>
    </row>
    <row r="98" spans="1:8" ht="12.75" customHeight="1">
      <c r="A98" s="161"/>
      <c r="B98" s="161"/>
      <c r="C98" s="242"/>
      <c r="D98" s="242"/>
      <c r="E98" s="242"/>
      <c r="F98" s="224"/>
      <c r="G98" s="224"/>
      <c r="H98" s="225"/>
    </row>
    <row r="99" spans="1:8" ht="12.75" customHeight="1">
      <c r="A99" s="1375" t="s">
        <v>876</v>
      </c>
      <c r="B99" s="1406"/>
      <c r="C99" s="1374" t="s">
        <v>877</v>
      </c>
      <c r="D99" s="1375"/>
      <c r="E99" s="1375"/>
      <c r="F99" s="1375"/>
      <c r="G99" s="1375"/>
      <c r="H99" s="1375"/>
    </row>
    <row r="100" spans="1:8" ht="15.75" customHeight="1">
      <c r="A100" s="1409"/>
      <c r="B100" s="1410"/>
      <c r="C100" s="1376"/>
      <c r="D100" s="1377"/>
      <c r="E100" s="1377"/>
      <c r="F100" s="1377"/>
      <c r="G100" s="1377"/>
      <c r="H100" s="1377"/>
    </row>
    <row r="101" spans="1:8" ht="15" customHeight="1">
      <c r="A101" s="1409"/>
      <c r="B101" s="1410"/>
      <c r="C101" s="1374" t="s">
        <v>869</v>
      </c>
      <c r="D101" s="1406"/>
      <c r="E101" s="1374" t="s">
        <v>870</v>
      </c>
      <c r="F101" s="1375"/>
      <c r="G101" s="1374" t="s">
        <v>871</v>
      </c>
      <c r="H101" s="1375"/>
    </row>
    <row r="102" spans="1:8" ht="12.75">
      <c r="A102" s="1409"/>
      <c r="B102" s="1410"/>
      <c r="C102" s="1408"/>
      <c r="D102" s="1410"/>
      <c r="E102" s="1408"/>
      <c r="F102" s="1409"/>
      <c r="G102" s="1408"/>
      <c r="H102" s="1409"/>
    </row>
    <row r="103" spans="1:8" ht="12.75">
      <c r="A103" s="1377"/>
      <c r="B103" s="1407"/>
      <c r="C103" s="1376"/>
      <c r="D103" s="1407"/>
      <c r="E103" s="1376" t="s">
        <v>133</v>
      </c>
      <c r="F103" s="1377"/>
      <c r="G103" s="1376"/>
      <c r="H103" s="1377"/>
    </row>
    <row r="104" spans="1:8" ht="12.75">
      <c r="A104" s="243" t="s">
        <v>878</v>
      </c>
      <c r="B104" s="249"/>
      <c r="C104" s="1385"/>
      <c r="D104" s="1386"/>
      <c r="E104" s="1391"/>
      <c r="F104" s="1392"/>
      <c r="G104" s="1391"/>
      <c r="H104" s="1392"/>
    </row>
    <row r="105" spans="1:8" ht="12.75">
      <c r="A105" s="245" t="s">
        <v>863</v>
      </c>
      <c r="B105" s="250"/>
      <c r="C105" s="1387"/>
      <c r="D105" s="1388"/>
      <c r="E105" s="1393"/>
      <c r="F105" s="1394"/>
      <c r="G105" s="1393"/>
      <c r="H105" s="1394"/>
    </row>
    <row r="106" spans="1:8" ht="12.75">
      <c r="A106" s="245" t="s">
        <v>879</v>
      </c>
      <c r="B106" s="250"/>
      <c r="C106" s="1387"/>
      <c r="D106" s="1388"/>
      <c r="E106" s="1393"/>
      <c r="F106" s="1394"/>
      <c r="G106" s="1393"/>
      <c r="H106" s="1394"/>
    </row>
    <row r="107" spans="1:8" ht="24.75" customHeight="1">
      <c r="A107" s="245" t="s">
        <v>880</v>
      </c>
      <c r="B107" s="250"/>
      <c r="C107" s="1387"/>
      <c r="D107" s="1388"/>
      <c r="E107" s="1393"/>
      <c r="F107" s="1394"/>
      <c r="G107" s="1393"/>
      <c r="H107" s="1394"/>
    </row>
    <row r="108" spans="1:8" ht="12.75" customHeight="1">
      <c r="A108" s="1395" t="s">
        <v>881</v>
      </c>
      <c r="B108" s="1395"/>
      <c r="C108" s="1389">
        <f>SUM(C104:D107)</f>
        <v>0</v>
      </c>
      <c r="D108" s="1390"/>
      <c r="E108" s="1389">
        <f>SUM(E104:F107)</f>
        <v>0</v>
      </c>
      <c r="F108" s="1390"/>
      <c r="G108" s="1389">
        <f>SUM(G104:H107)</f>
        <v>0</v>
      </c>
      <c r="H108" s="1390"/>
    </row>
    <row r="109" spans="1:7" ht="12.75">
      <c r="A109" s="161"/>
      <c r="B109" s="251"/>
      <c r="C109" s="242"/>
      <c r="D109" s="161"/>
      <c r="E109" s="161"/>
      <c r="F109" s="146"/>
      <c r="G109" s="146"/>
    </row>
    <row r="110" spans="1:8" ht="12.75">
      <c r="A110" s="252" t="s">
        <v>827</v>
      </c>
      <c r="B110" s="1341" t="s">
        <v>119</v>
      </c>
      <c r="C110" s="1341" t="s">
        <v>120</v>
      </c>
      <c r="D110" s="1333" t="s">
        <v>121</v>
      </c>
      <c r="E110" s="1334"/>
      <c r="F110" s="1333" t="s">
        <v>122</v>
      </c>
      <c r="G110" s="1334"/>
      <c r="H110" s="1361" t="s">
        <v>828</v>
      </c>
    </row>
    <row r="111" spans="1:8" ht="12.75">
      <c r="A111" s="253" t="s">
        <v>882</v>
      </c>
      <c r="B111" s="1342"/>
      <c r="C111" s="1342"/>
      <c r="D111" s="254" t="s">
        <v>40</v>
      </c>
      <c r="E111" s="151" t="s">
        <v>39</v>
      </c>
      <c r="F111" s="254" t="s">
        <v>40</v>
      </c>
      <c r="G111" s="151" t="s">
        <v>39</v>
      </c>
      <c r="H111" s="1362"/>
    </row>
    <row r="112" spans="1:8" ht="21.75" customHeight="1">
      <c r="A112" s="176"/>
      <c r="B112" s="1343"/>
      <c r="C112" s="1343"/>
      <c r="D112" s="178" t="s">
        <v>883</v>
      </c>
      <c r="E112" s="229" t="s">
        <v>884</v>
      </c>
      <c r="F112" s="178" t="s">
        <v>885</v>
      </c>
      <c r="G112" s="229" t="s">
        <v>886</v>
      </c>
      <c r="H112" s="1363"/>
    </row>
    <row r="113" spans="1:8" ht="12.75">
      <c r="A113" s="161" t="s">
        <v>222</v>
      </c>
      <c r="B113" s="158">
        <v>3783206.75</v>
      </c>
      <c r="C113" s="158">
        <v>3783206.75</v>
      </c>
      <c r="D113" s="115">
        <v>118991.99</v>
      </c>
      <c r="E113" s="185">
        <f aca="true" t="shared" si="11" ref="E113:E119">IF($D$120="",0,IF($D$120=0,0,D113/$D$120))</f>
        <v>0.3059109417364448</v>
      </c>
      <c r="F113" s="115">
        <v>118991.99</v>
      </c>
      <c r="G113" s="185">
        <f>IF($F$120="",0,IF($F$120=0,0,F113/$F$120))</f>
        <v>0.3066496267951679</v>
      </c>
      <c r="H113" s="255"/>
    </row>
    <row r="114" spans="1:8" ht="12.75">
      <c r="A114" s="161" t="s">
        <v>223</v>
      </c>
      <c r="B114" s="158">
        <v>2819738.5</v>
      </c>
      <c r="C114" s="158">
        <v>2846545.9</v>
      </c>
      <c r="D114" s="115">
        <v>227930.86</v>
      </c>
      <c r="E114" s="185">
        <f t="shared" si="11"/>
        <v>0.5859767874576914</v>
      </c>
      <c r="F114" s="128">
        <v>227930.86</v>
      </c>
      <c r="G114" s="185">
        <f aca="true" t="shared" si="12" ref="G114:G119">IF($F$120="",0,IF($F$120=0,0,F114/$F$120))</f>
        <v>0.5873917492606154</v>
      </c>
      <c r="H114" s="190"/>
    </row>
    <row r="115" spans="1:8" ht="12.75">
      <c r="A115" s="161" t="s">
        <v>224</v>
      </c>
      <c r="B115" s="158"/>
      <c r="C115" s="158"/>
      <c r="D115" s="115"/>
      <c r="E115" s="185">
        <f t="shared" si="11"/>
        <v>0</v>
      </c>
      <c r="F115" s="128"/>
      <c r="G115" s="185">
        <f t="shared" si="12"/>
        <v>0</v>
      </c>
      <c r="H115" s="190"/>
    </row>
    <row r="116" spans="1:8" ht="12.75">
      <c r="A116" s="161" t="s">
        <v>225</v>
      </c>
      <c r="B116" s="158">
        <v>354052.25</v>
      </c>
      <c r="C116" s="158">
        <v>354052.25</v>
      </c>
      <c r="D116" s="115"/>
      <c r="E116" s="185">
        <f t="shared" si="11"/>
        <v>0</v>
      </c>
      <c r="F116" s="128"/>
      <c r="G116" s="185">
        <f t="shared" si="12"/>
        <v>0</v>
      </c>
      <c r="H116" s="190"/>
    </row>
    <row r="117" spans="1:8" ht="12.75">
      <c r="A117" s="161" t="s">
        <v>226</v>
      </c>
      <c r="B117" s="158">
        <v>248497.75</v>
      </c>
      <c r="C117" s="158">
        <v>248497.75</v>
      </c>
      <c r="D117" s="115"/>
      <c r="E117" s="185">
        <f t="shared" si="11"/>
        <v>0</v>
      </c>
      <c r="F117" s="128"/>
      <c r="G117" s="185">
        <f t="shared" si="12"/>
        <v>0</v>
      </c>
      <c r="H117" s="190"/>
    </row>
    <row r="118" spans="1:8" ht="12.75">
      <c r="A118" s="161" t="s">
        <v>227</v>
      </c>
      <c r="B118" s="158"/>
      <c r="C118" s="158"/>
      <c r="D118" s="115"/>
      <c r="E118" s="185">
        <f t="shared" si="11"/>
        <v>0</v>
      </c>
      <c r="F118" s="128"/>
      <c r="G118" s="185">
        <f t="shared" si="12"/>
        <v>0</v>
      </c>
      <c r="H118" s="190"/>
    </row>
    <row r="119" spans="1:8" ht="12.75">
      <c r="A119" s="242" t="s">
        <v>887</v>
      </c>
      <c r="B119" s="256">
        <v>1671199.5</v>
      </c>
      <c r="C119" s="256">
        <v>1671199.5</v>
      </c>
      <c r="D119" s="115">
        <v>42053.07</v>
      </c>
      <c r="E119" s="185">
        <f t="shared" si="11"/>
        <v>0.10811227080586377</v>
      </c>
      <c r="F119" s="128">
        <v>41116.07</v>
      </c>
      <c r="G119" s="185">
        <f t="shared" si="12"/>
        <v>0.10595862394421673</v>
      </c>
      <c r="H119" s="192"/>
    </row>
    <row r="120" spans="1:8" ht="12.75">
      <c r="A120" s="170" t="s">
        <v>888</v>
      </c>
      <c r="B120" s="171">
        <f>SUM(B113:B119)</f>
        <v>8876694.75</v>
      </c>
      <c r="C120" s="171">
        <f aca="true" t="shared" si="13" ref="C120:H120">SUM(C113:C119)</f>
        <v>8903502.15</v>
      </c>
      <c r="D120" s="171">
        <f t="shared" si="13"/>
        <v>388975.92</v>
      </c>
      <c r="E120" s="257"/>
      <c r="F120" s="171">
        <f t="shared" si="13"/>
        <v>388038.92</v>
      </c>
      <c r="G120" s="257"/>
      <c r="H120" s="258">
        <f t="shared" si="13"/>
        <v>0</v>
      </c>
    </row>
    <row r="121" spans="1:8" ht="12.75">
      <c r="A121" s="1396" t="s">
        <v>544</v>
      </c>
      <c r="B121" s="1396"/>
      <c r="C121" s="1396"/>
      <c r="D121" s="1396"/>
      <c r="E121" s="1396"/>
      <c r="F121" s="1396"/>
      <c r="G121" s="1396"/>
      <c r="H121" s="1396"/>
    </row>
    <row r="122" spans="1:7" ht="12.75">
      <c r="A122" s="161" t="s">
        <v>889</v>
      </c>
      <c r="B122" s="259"/>
      <c r="C122" s="259"/>
      <c r="D122" s="161"/>
      <c r="E122" s="161"/>
      <c r="F122" s="172"/>
      <c r="G122" s="172"/>
    </row>
    <row r="123" spans="1:7" ht="12.75">
      <c r="A123" s="260" t="s">
        <v>890</v>
      </c>
      <c r="B123" s="259"/>
      <c r="C123" s="259"/>
      <c r="D123" s="161"/>
      <c r="E123" s="161"/>
      <c r="F123" s="172"/>
      <c r="G123" s="172"/>
    </row>
    <row r="124" spans="1:7" ht="12.75">
      <c r="A124" s="260" t="s">
        <v>891</v>
      </c>
      <c r="B124" s="259"/>
      <c r="C124" s="259"/>
      <c r="D124" s="161"/>
      <c r="E124" s="161"/>
      <c r="F124" s="172"/>
      <c r="G124" s="172"/>
    </row>
    <row r="125" spans="1:7" ht="12.75">
      <c r="A125" s="261" t="s">
        <v>892</v>
      </c>
      <c r="B125" s="262"/>
      <c r="C125" s="262"/>
      <c r="D125" s="161"/>
      <c r="E125" s="161"/>
      <c r="F125" s="172"/>
      <c r="G125" s="172"/>
    </row>
    <row r="126" spans="1:7" ht="12.75">
      <c r="A126" s="261" t="s">
        <v>893</v>
      </c>
      <c r="B126" s="146"/>
      <c r="C126" s="146"/>
      <c r="D126" s="146"/>
      <c r="E126" s="146"/>
      <c r="F126" s="146"/>
      <c r="G126" s="146"/>
    </row>
    <row r="127" spans="1:7" ht="12.75">
      <c r="A127" s="260" t="s">
        <v>894</v>
      </c>
      <c r="B127" s="146"/>
      <c r="C127" s="146"/>
      <c r="D127" s="146"/>
      <c r="E127" s="146"/>
      <c r="F127" s="146"/>
      <c r="G127" s="146"/>
    </row>
    <row r="128" spans="1:3" ht="12.75">
      <c r="A128" s="1397" t="s">
        <v>895</v>
      </c>
      <c r="B128" s="1397"/>
      <c r="C128" s="1397"/>
    </row>
    <row r="133" ht="12.75">
      <c r="D133" s="263"/>
    </row>
  </sheetData>
  <sheetProtection password="C236" sheet="1" objects="1" formatColumns="0" selectLockedCells="1"/>
  <mergeCells count="162">
    <mergeCell ref="H110:H112"/>
    <mergeCell ref="A99:B103"/>
    <mergeCell ref="E101:F102"/>
    <mergeCell ref="E90:F91"/>
    <mergeCell ref="C101:D103"/>
    <mergeCell ref="G101:H103"/>
    <mergeCell ref="A88:B92"/>
    <mergeCell ref="C90:D92"/>
    <mergeCell ref="G90:H92"/>
    <mergeCell ref="C99:H100"/>
    <mergeCell ref="B110:B112"/>
    <mergeCell ref="C10:C11"/>
    <mergeCell ref="C33:C34"/>
    <mergeCell ref="C46:C47"/>
    <mergeCell ref="C59:C61"/>
    <mergeCell ref="C80:C81"/>
    <mergeCell ref="C110:C112"/>
    <mergeCell ref="A80:B81"/>
    <mergeCell ref="C88:H89"/>
    <mergeCell ref="D110:E110"/>
    <mergeCell ref="F110:G110"/>
    <mergeCell ref="A121:H121"/>
    <mergeCell ref="A128:C128"/>
    <mergeCell ref="A33:A35"/>
    <mergeCell ref="A46:A47"/>
    <mergeCell ref="A59:A61"/>
    <mergeCell ref="B33:B35"/>
    <mergeCell ref="B46:B48"/>
    <mergeCell ref="B59:B61"/>
    <mergeCell ref="C107:D107"/>
    <mergeCell ref="E107:F107"/>
    <mergeCell ref="G107:H107"/>
    <mergeCell ref="A108:B108"/>
    <mergeCell ref="C108:D108"/>
    <mergeCell ref="E108:F108"/>
    <mergeCell ref="G108:H108"/>
    <mergeCell ref="C105:D105"/>
    <mergeCell ref="E105:F105"/>
    <mergeCell ref="G105:H105"/>
    <mergeCell ref="C106:D106"/>
    <mergeCell ref="E106:F106"/>
    <mergeCell ref="G106:H106"/>
    <mergeCell ref="C97:D97"/>
    <mergeCell ref="E97:F97"/>
    <mergeCell ref="G97:H97"/>
    <mergeCell ref="E103:F103"/>
    <mergeCell ref="C104:D104"/>
    <mergeCell ref="E104:F104"/>
    <mergeCell ref="G104:H104"/>
    <mergeCell ref="C95:D95"/>
    <mergeCell ref="E95:F95"/>
    <mergeCell ref="G95:H95"/>
    <mergeCell ref="C96:D96"/>
    <mergeCell ref="E96:F96"/>
    <mergeCell ref="G96:H96"/>
    <mergeCell ref="E92:F92"/>
    <mergeCell ref="C93:D93"/>
    <mergeCell ref="E93:F93"/>
    <mergeCell ref="G93:H93"/>
    <mergeCell ref="C94:D94"/>
    <mergeCell ref="E94:F94"/>
    <mergeCell ref="G94:H94"/>
    <mergeCell ref="A83:B83"/>
    <mergeCell ref="G83:H83"/>
    <mergeCell ref="G84:H84"/>
    <mergeCell ref="G85:H85"/>
    <mergeCell ref="A86:B86"/>
    <mergeCell ref="G86:H86"/>
    <mergeCell ref="A76:D76"/>
    <mergeCell ref="E76:H76"/>
    <mergeCell ref="A78:D78"/>
    <mergeCell ref="E78:H78"/>
    <mergeCell ref="A82:B82"/>
    <mergeCell ref="G82:H82"/>
    <mergeCell ref="D80:D81"/>
    <mergeCell ref="E80:E81"/>
    <mergeCell ref="F80:F81"/>
    <mergeCell ref="G80:H81"/>
    <mergeCell ref="A58:H58"/>
    <mergeCell ref="D59:E59"/>
    <mergeCell ref="F59:G59"/>
    <mergeCell ref="A73:H73"/>
    <mergeCell ref="H46:H48"/>
    <mergeCell ref="H59:H61"/>
    <mergeCell ref="D43:E43"/>
    <mergeCell ref="F43:G43"/>
    <mergeCell ref="D44:E44"/>
    <mergeCell ref="F44:G44"/>
    <mergeCell ref="D46:E46"/>
    <mergeCell ref="F46:G46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3:G33"/>
    <mergeCell ref="D34:E34"/>
    <mergeCell ref="F34:G34"/>
    <mergeCell ref="D35:E35"/>
    <mergeCell ref="F35:G35"/>
    <mergeCell ref="D36:E36"/>
    <mergeCell ref="F36:G36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B10:B12"/>
    <mergeCell ref="D13:E13"/>
    <mergeCell ref="F13:G13"/>
    <mergeCell ref="A3:G3"/>
    <mergeCell ref="A4:G4"/>
    <mergeCell ref="A5:G5"/>
    <mergeCell ref="A6:G6"/>
    <mergeCell ref="IP6:IV6"/>
    <mergeCell ref="A7:G7"/>
    <mergeCell ref="II6:IN12"/>
    <mergeCell ref="A8:G8"/>
    <mergeCell ref="A9:F9"/>
    <mergeCell ref="D10:G10"/>
  </mergeCells>
  <conditionalFormatting sqref="A8:C8">
    <cfRule type="expression" priority="11" dxfId="0" stopIfTrue="1">
      <formula>IT13&lt;&gt;1</formula>
    </cfRule>
  </conditionalFormatting>
  <conditionalFormatting sqref="D8:G8">
    <cfRule type="expression" priority="6" dxfId="0" stopIfTrue="1">
      <formula>A13&lt;&gt;1</formula>
    </cfRule>
  </conditionalFormatting>
  <conditionalFormatting sqref="A58">
    <cfRule type="expression" priority="9" dxfId="0" stopIfTrue="1">
      <formula>IV57=0</formula>
    </cfRule>
  </conditionalFormatting>
  <conditionalFormatting sqref="B58:H58">
    <cfRule type="expression" priority="5" dxfId="0" stopIfTrue="1">
      <formula>A57=0</formula>
    </cfRule>
  </conditionalFormatting>
  <conditionalFormatting sqref="B65:D65">
    <cfRule type="expression" priority="1" dxfId="5" stopIfTrue="1">
      <formula>B65&lt;&gt;B36</formula>
    </cfRule>
  </conditionalFormatting>
  <conditionalFormatting sqref="A73">
    <cfRule type="expression" priority="10" dxfId="0" stopIfTrue="1">
      <formula>IV72=0</formula>
    </cfRule>
  </conditionalFormatting>
  <conditionalFormatting sqref="B73:H73">
    <cfRule type="expression" priority="4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2" dxfId="5" operator="lessThan" stopIfTrue="1">
      <formula>0.15</formula>
    </cfRule>
    <cfRule type="expression" priority="3" dxfId="0" stopIfTrue="1">
      <formula>A76&lt;&gt;3</formula>
    </cfRule>
  </conditionalFormatting>
  <dataValidations count="1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" right="0.2" top="0.59" bottom="0.2" header="0.12" footer="0.12"/>
  <pageSetup horizontalDpi="600" verticalDpi="6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="115" zoomScaleNormal="115" zoomScalePageLayoutView="0" workbookViewId="0" topLeftCell="A1">
      <selection activeCell="A11" sqref="A11"/>
    </sheetView>
  </sheetViews>
  <sheetFormatPr defaultColWidth="9.140625" defaultRowHeight="12.75"/>
  <cols>
    <col min="1" max="1" width="75.7109375" style="94" customWidth="1"/>
    <col min="2" max="2" width="14.7109375" style="94" customWidth="1"/>
    <col min="3" max="3" width="8.28125" style="94" customWidth="1"/>
    <col min="4" max="8" width="12.7109375" style="94" customWidth="1"/>
    <col min="9" max="16384" width="9.140625" style="94" customWidth="1"/>
  </cols>
  <sheetData>
    <row r="1" spans="1:7" ht="15.75">
      <c r="A1" s="95" t="s">
        <v>896</v>
      </c>
      <c r="B1" s="96"/>
      <c r="C1" s="96"/>
      <c r="D1" s="96"/>
      <c r="E1" s="96"/>
      <c r="F1" s="97"/>
      <c r="G1" s="97"/>
    </row>
    <row r="2" spans="1:7" ht="12.75">
      <c r="A2" s="98"/>
      <c r="B2" s="98"/>
      <c r="C2" s="98"/>
      <c r="D2" s="98"/>
      <c r="E2" s="98"/>
      <c r="F2" s="97"/>
      <c r="G2" s="97"/>
    </row>
    <row r="3" spans="1:7" ht="12.75">
      <c r="A3" s="1411" t="str">
        <f>+'Informações Iniciais'!A1:B1</f>
        <v>ESTADO DO MARANHÃO - PREFEITURA MUNICIPAL DE DAVINOPOLIS</v>
      </c>
      <c r="B3" s="1411"/>
      <c r="C3" s="1411"/>
      <c r="D3" s="1411"/>
      <c r="E3" s="1411"/>
      <c r="F3" s="1411"/>
      <c r="G3" s="1411"/>
    </row>
    <row r="4" spans="1:7" ht="12.75">
      <c r="A4" s="1411" t="s">
        <v>1</v>
      </c>
      <c r="B4" s="1411"/>
      <c r="C4" s="1411"/>
      <c r="D4" s="1411"/>
      <c r="E4" s="1411"/>
      <c r="F4" s="1411"/>
      <c r="G4" s="1411"/>
    </row>
    <row r="5" spans="1:7" ht="12.75">
      <c r="A5" s="1412" t="s">
        <v>793</v>
      </c>
      <c r="B5" s="1412"/>
      <c r="C5" s="1412"/>
      <c r="D5" s="1412"/>
      <c r="E5" s="1412"/>
      <c r="F5" s="1412"/>
      <c r="G5" s="1412"/>
    </row>
    <row r="6" spans="1:7" ht="12.75">
      <c r="A6" s="1411" t="s">
        <v>30</v>
      </c>
      <c r="B6" s="1411"/>
      <c r="C6" s="1411"/>
      <c r="D6" s="1411"/>
      <c r="E6" s="1411"/>
      <c r="F6" s="1411"/>
      <c r="G6" s="1411"/>
    </row>
    <row r="7" spans="1:7" ht="12.75">
      <c r="A7" s="1411" t="str">
        <f>+'Informações Iniciais'!A5:B5</f>
        <v>1º Bimestre de 2017</v>
      </c>
      <c r="B7" s="1411"/>
      <c r="C7" s="1411"/>
      <c r="D7" s="1411"/>
      <c r="E7" s="1411"/>
      <c r="F7" s="1411"/>
      <c r="G7" s="1411"/>
    </row>
    <row r="8" spans="1:7" ht="12.75">
      <c r="A8" s="98"/>
      <c r="B8" s="98"/>
      <c r="C8" s="98"/>
      <c r="D8" s="98"/>
      <c r="E8" s="98"/>
      <c r="F8" s="97"/>
      <c r="G8" s="97"/>
    </row>
    <row r="9" spans="1:8" ht="12.75">
      <c r="A9" s="99" t="s">
        <v>897</v>
      </c>
      <c r="B9" s="96"/>
      <c r="C9" s="96"/>
      <c r="D9" s="96"/>
      <c r="E9" s="97"/>
      <c r="F9" s="97"/>
      <c r="G9" s="100"/>
      <c r="H9" s="101" t="s">
        <v>32</v>
      </c>
    </row>
    <row r="10" spans="1:8" ht="12.75" customHeight="1">
      <c r="A10" s="102" t="s">
        <v>898</v>
      </c>
      <c r="B10" s="1361" t="s">
        <v>899</v>
      </c>
      <c r="C10" s="1427"/>
      <c r="D10" s="1413" t="s">
        <v>121</v>
      </c>
      <c r="E10" s="1414"/>
      <c r="F10" s="1413" t="s">
        <v>122</v>
      </c>
      <c r="G10" s="1414"/>
      <c r="H10" s="1361" t="s">
        <v>900</v>
      </c>
    </row>
    <row r="11" spans="1:8" ht="21.75" customHeight="1">
      <c r="A11" s="103" t="s">
        <v>706</v>
      </c>
      <c r="B11" s="1362"/>
      <c r="C11" s="1428"/>
      <c r="D11" s="104" t="s">
        <v>40</v>
      </c>
      <c r="E11" s="105" t="s">
        <v>39</v>
      </c>
      <c r="F11" s="104" t="s">
        <v>40</v>
      </c>
      <c r="G11" s="105" t="s">
        <v>39</v>
      </c>
      <c r="H11" s="1362"/>
    </row>
    <row r="12" spans="1:8" ht="12.75">
      <c r="A12" s="106" t="s">
        <v>829</v>
      </c>
      <c r="B12" s="1363"/>
      <c r="C12" s="1429"/>
      <c r="D12" s="107" t="s">
        <v>42</v>
      </c>
      <c r="E12" s="108" t="s">
        <v>796</v>
      </c>
      <c r="F12" s="107" t="s">
        <v>44</v>
      </c>
      <c r="G12" s="108" t="s">
        <v>901</v>
      </c>
      <c r="H12" s="1363"/>
    </row>
    <row r="13" spans="1:8" ht="12.75">
      <c r="A13" s="109" t="s">
        <v>832</v>
      </c>
      <c r="B13" s="1344">
        <f>SUM(B14:C16)</f>
        <v>0</v>
      </c>
      <c r="C13" s="1345"/>
      <c r="D13" s="111">
        <f>SUM(D14:D16)</f>
        <v>0</v>
      </c>
      <c r="E13" s="111">
        <f>IF($B13="",0,IF($B13=0,0,D13/$B13))</f>
        <v>0</v>
      </c>
      <c r="F13" s="111">
        <f>SUM(F14:F16)</f>
        <v>0</v>
      </c>
      <c r="G13" s="111">
        <f>IF($B13="",0,IF($B13=0,0,F13/$B13))</f>
        <v>0</v>
      </c>
      <c r="H13" s="110">
        <f>SUM(H14:H16)</f>
        <v>0</v>
      </c>
    </row>
    <row r="14" spans="1:8" ht="12.75">
      <c r="A14" s="112" t="s">
        <v>508</v>
      </c>
      <c r="B14" s="1348"/>
      <c r="C14" s="1349"/>
      <c r="D14" s="115"/>
      <c r="E14" s="111">
        <f aca="true" t="shared" si="0" ref="E14:G21">IF($B14="",0,IF($B14=0,0,D14/$B14))</f>
        <v>0</v>
      </c>
      <c r="F14" s="115"/>
      <c r="G14" s="111">
        <f t="shared" si="0"/>
        <v>0</v>
      </c>
      <c r="H14" s="113"/>
    </row>
    <row r="15" spans="1:8" ht="12.75">
      <c r="A15" s="112" t="s">
        <v>833</v>
      </c>
      <c r="B15" s="1348"/>
      <c r="C15" s="1349"/>
      <c r="D15" s="115"/>
      <c r="E15" s="111">
        <f t="shared" si="0"/>
        <v>0</v>
      </c>
      <c r="F15" s="115"/>
      <c r="G15" s="111">
        <f t="shared" si="0"/>
        <v>0</v>
      </c>
      <c r="H15" s="113"/>
    </row>
    <row r="16" spans="1:8" ht="12.75">
      <c r="A16" s="112" t="s">
        <v>510</v>
      </c>
      <c r="B16" s="1348"/>
      <c r="C16" s="1349"/>
      <c r="D16" s="115"/>
      <c r="E16" s="111">
        <f t="shared" si="0"/>
        <v>0</v>
      </c>
      <c r="F16" s="115"/>
      <c r="G16" s="111">
        <f t="shared" si="0"/>
        <v>0</v>
      </c>
      <c r="H16" s="113"/>
    </row>
    <row r="17" spans="1:8" ht="12.75">
      <c r="A17" s="112" t="s">
        <v>739</v>
      </c>
      <c r="B17" s="1350">
        <f>SUM(B18:C20)</f>
        <v>0</v>
      </c>
      <c r="C17" s="1351"/>
      <c r="D17" s="111">
        <f>SUM(D18:D20)</f>
        <v>0</v>
      </c>
      <c r="E17" s="111">
        <f t="shared" si="0"/>
        <v>0</v>
      </c>
      <c r="F17" s="111">
        <f>SUM(F18:F20)</f>
        <v>0</v>
      </c>
      <c r="G17" s="111">
        <f t="shared" si="0"/>
        <v>0</v>
      </c>
      <c r="H17" s="116">
        <f>SUM(H18:H20)</f>
        <v>0</v>
      </c>
    </row>
    <row r="18" spans="1:8" ht="12.75">
      <c r="A18" s="98" t="s">
        <v>834</v>
      </c>
      <c r="B18" s="1348"/>
      <c r="C18" s="1349"/>
      <c r="D18" s="115"/>
      <c r="E18" s="111">
        <f t="shared" si="0"/>
        <v>0</v>
      </c>
      <c r="F18" s="115"/>
      <c r="G18" s="111">
        <f t="shared" si="0"/>
        <v>0</v>
      </c>
      <c r="H18" s="117"/>
    </row>
    <row r="19" spans="1:8" ht="12.75">
      <c r="A19" s="98" t="s">
        <v>514</v>
      </c>
      <c r="B19" s="1348"/>
      <c r="C19" s="1349"/>
      <c r="D19" s="115"/>
      <c r="E19" s="111">
        <f t="shared" si="0"/>
        <v>0</v>
      </c>
      <c r="F19" s="115"/>
      <c r="G19" s="111">
        <f t="shared" si="0"/>
        <v>0</v>
      </c>
      <c r="H19" s="117"/>
    </row>
    <row r="20" spans="1:8" ht="12.75">
      <c r="A20" s="98" t="s">
        <v>835</v>
      </c>
      <c r="B20" s="1415"/>
      <c r="C20" s="1416"/>
      <c r="D20" s="115"/>
      <c r="E20" s="111">
        <f t="shared" si="0"/>
        <v>0</v>
      </c>
      <c r="F20" s="115"/>
      <c r="G20" s="111">
        <f t="shared" si="0"/>
        <v>0</v>
      </c>
      <c r="H20" s="118"/>
    </row>
    <row r="21" spans="1:10" ht="12.75">
      <c r="A21" s="119" t="s">
        <v>902</v>
      </c>
      <c r="B21" s="1417">
        <f>B13+B17</f>
        <v>0</v>
      </c>
      <c r="C21" s="1418"/>
      <c r="D21" s="121">
        <f>D13+D17</f>
        <v>0</v>
      </c>
      <c r="E21" s="122">
        <f t="shared" si="0"/>
        <v>0</v>
      </c>
      <c r="F21" s="121">
        <f>F13+F17</f>
        <v>0</v>
      </c>
      <c r="G21" s="122">
        <f t="shared" si="0"/>
        <v>0</v>
      </c>
      <c r="H21" s="120">
        <f>H13+H17</f>
        <v>0</v>
      </c>
      <c r="I21" s="94">
        <f>IF(A7=J21,IF(D21-(F21+H21)&lt;&gt;0,1,0),0)</f>
        <v>0</v>
      </c>
      <c r="J21" s="94" t="s">
        <v>903</v>
      </c>
    </row>
    <row r="22" spans="1:8" ht="15.75">
      <c r="A22" s="1419">
        <f>IF(I21=1,"O total das DESPESAS EMPENHADAS deve coreesponder ao somatório das DESPESAS LIQUIDADAS + Inscritas em Restos a Pagar não Processados","")</f>
      </c>
      <c r="B22" s="1419"/>
      <c r="C22" s="1419"/>
      <c r="D22" s="1419"/>
      <c r="E22" s="1419"/>
      <c r="F22" s="1419"/>
      <c r="G22" s="1419"/>
      <c r="H22" s="1419"/>
    </row>
    <row r="23" spans="1:8" ht="12.75">
      <c r="A23" s="1430" t="s">
        <v>838</v>
      </c>
      <c r="B23" s="1430"/>
      <c r="C23" s="1431"/>
      <c r="D23" s="1413" t="s">
        <v>121</v>
      </c>
      <c r="E23" s="1414"/>
      <c r="F23" s="1413" t="s">
        <v>122</v>
      </c>
      <c r="G23" s="1414"/>
      <c r="H23" s="1424" t="s">
        <v>900</v>
      </c>
    </row>
    <row r="24" spans="1:8" ht="21.75" customHeight="1">
      <c r="A24" s="1432"/>
      <c r="B24" s="1432"/>
      <c r="C24" s="1433"/>
      <c r="D24" s="123" t="s">
        <v>40</v>
      </c>
      <c r="E24" s="124" t="s">
        <v>39</v>
      </c>
      <c r="F24" s="123" t="s">
        <v>40</v>
      </c>
      <c r="G24" s="124" t="s">
        <v>39</v>
      </c>
      <c r="H24" s="1425"/>
    </row>
    <row r="25" spans="1:8" ht="12.75">
      <c r="A25" s="1434"/>
      <c r="B25" s="1432"/>
      <c r="C25" s="1435"/>
      <c r="D25" s="107" t="s">
        <v>126</v>
      </c>
      <c r="E25" s="108" t="s">
        <v>904</v>
      </c>
      <c r="F25" s="107" t="s">
        <v>128</v>
      </c>
      <c r="G25" s="108" t="s">
        <v>905</v>
      </c>
      <c r="H25" s="1426"/>
    </row>
    <row r="26" spans="1:8" ht="12.75">
      <c r="A26" s="125" t="s">
        <v>842</v>
      </c>
      <c r="B26" s="126"/>
      <c r="C26" s="127"/>
      <c r="D26" s="115"/>
      <c r="E26" s="114"/>
      <c r="F26" s="128"/>
      <c r="G26" s="113"/>
      <c r="H26" s="129"/>
    </row>
    <row r="27" spans="1:8" ht="12.75">
      <c r="A27" s="125" t="s">
        <v>843</v>
      </c>
      <c r="B27" s="125"/>
      <c r="C27" s="127"/>
      <c r="D27" s="111">
        <f>SUM(D28:D30)</f>
        <v>0</v>
      </c>
      <c r="E27" s="111">
        <f>SUM(E28:E30)</f>
        <v>0</v>
      </c>
      <c r="F27" s="111">
        <f>SUM(F28:F30)</f>
        <v>0</v>
      </c>
      <c r="G27" s="111">
        <f>SUM(G28:G30)</f>
        <v>0</v>
      </c>
      <c r="H27" s="116">
        <f>SUM(H28:H30)</f>
        <v>0</v>
      </c>
    </row>
    <row r="28" spans="1:8" ht="12.75">
      <c r="A28" s="99" t="s">
        <v>844</v>
      </c>
      <c r="B28" s="112"/>
      <c r="C28" s="112"/>
      <c r="D28" s="115"/>
      <c r="E28" s="115"/>
      <c r="F28" s="115"/>
      <c r="G28" s="115"/>
      <c r="H28" s="113"/>
    </row>
    <row r="29" spans="1:8" ht="12.75">
      <c r="A29" s="99" t="s">
        <v>845</v>
      </c>
      <c r="B29" s="112"/>
      <c r="C29" s="112"/>
      <c r="D29" s="115"/>
      <c r="E29" s="115"/>
      <c r="F29" s="115"/>
      <c r="G29" s="115"/>
      <c r="H29" s="113"/>
    </row>
    <row r="30" spans="1:8" ht="12.75">
      <c r="A30" s="130" t="s">
        <v>846</v>
      </c>
      <c r="B30" s="112"/>
      <c r="C30" s="112"/>
      <c r="D30" s="131"/>
      <c r="E30" s="131"/>
      <c r="F30" s="131"/>
      <c r="G30" s="131"/>
      <c r="H30" s="131"/>
    </row>
    <row r="31" spans="1:8" ht="12.75">
      <c r="A31" s="125" t="s">
        <v>847</v>
      </c>
      <c r="B31" s="112"/>
      <c r="C31" s="112"/>
      <c r="D31" s="131"/>
      <c r="E31" s="131"/>
      <c r="F31" s="131"/>
      <c r="G31" s="131"/>
      <c r="H31" s="131"/>
    </row>
    <row r="32" spans="1:8" ht="13.5" customHeight="1">
      <c r="A32" s="1420" t="s">
        <v>906</v>
      </c>
      <c r="B32" s="1420"/>
      <c r="C32" s="1421"/>
      <c r="D32" s="131"/>
      <c r="E32" s="131"/>
      <c r="F32" s="131"/>
      <c r="G32" s="131"/>
      <c r="H32" s="131"/>
    </row>
    <row r="33" spans="1:8" ht="12.75">
      <c r="A33" s="1420" t="s">
        <v>907</v>
      </c>
      <c r="B33" s="1420"/>
      <c r="C33" s="1421"/>
      <c r="D33" s="131"/>
      <c r="E33" s="131"/>
      <c r="F33" s="131"/>
      <c r="G33" s="131"/>
      <c r="H33" s="131"/>
    </row>
    <row r="34" spans="1:8" ht="24" customHeight="1">
      <c r="A34" s="1422" t="s">
        <v>908</v>
      </c>
      <c r="B34" s="1422"/>
      <c r="C34" s="1423"/>
      <c r="D34" s="131"/>
      <c r="E34" s="131"/>
      <c r="F34" s="131"/>
      <c r="G34" s="131"/>
      <c r="H34" s="131"/>
    </row>
    <row r="35" spans="1:9" ht="16.5" customHeight="1">
      <c r="A35" s="132" t="s">
        <v>909</v>
      </c>
      <c r="B35" s="133"/>
      <c r="C35" s="134"/>
      <c r="D35" s="135">
        <f>D26+D27+D31+D32+D33+D34</f>
        <v>0</v>
      </c>
      <c r="E35" s="135">
        <f>E26+E27+E31+E32+E33+E34</f>
        <v>0</v>
      </c>
      <c r="F35" s="135">
        <f>F26+F27+F31+F32+F33+F34</f>
        <v>0</v>
      </c>
      <c r="G35" s="135">
        <f>G26+G27+G31+G32+G33+G34</f>
        <v>0</v>
      </c>
      <c r="H35" s="135">
        <f>H26+H27+H31+H32+H33+H34</f>
        <v>0</v>
      </c>
      <c r="I35" s="94">
        <f>IF(A7=J21,IF(D35-(F35+H35)&lt;&gt;0,1,0),0)</f>
        <v>0</v>
      </c>
    </row>
    <row r="36" spans="1:8" ht="15.75">
      <c r="A36" s="1419">
        <f>IF(I35=1,"O total das DESPESAS EMPENHADAS deve coreesponder ao somatório das DESPESAS LIQUIDADAS + Inscritas em Restos a Pagar não Processados","")</f>
      </c>
      <c r="B36" s="1419"/>
      <c r="C36" s="1419"/>
      <c r="D36" s="1419"/>
      <c r="E36" s="1419"/>
      <c r="F36" s="1419"/>
      <c r="G36" s="1419"/>
      <c r="H36" s="1419"/>
    </row>
    <row r="37" spans="1:8" ht="22.5" customHeight="1">
      <c r="A37" s="136" t="s">
        <v>910</v>
      </c>
      <c r="B37" s="137"/>
      <c r="C37" s="137"/>
      <c r="D37" s="138">
        <f>D21-D35</f>
        <v>0</v>
      </c>
      <c r="E37" s="138">
        <f>E21-E35</f>
        <v>0</v>
      </c>
      <c r="F37" s="138">
        <f>F21-F35</f>
        <v>0</v>
      </c>
      <c r="G37" s="139">
        <f>G21-G35</f>
        <v>0</v>
      </c>
      <c r="H37" s="139">
        <f>H21-H35</f>
        <v>0</v>
      </c>
    </row>
    <row r="38" spans="1:7" ht="15" customHeight="1">
      <c r="A38" s="840" t="s">
        <v>728</v>
      </c>
      <c r="B38" s="840"/>
      <c r="C38" s="840"/>
      <c r="D38" s="112"/>
      <c r="E38" s="112"/>
      <c r="F38" s="97"/>
      <c r="G38" s="97"/>
    </row>
    <row r="40" spans="1:3" ht="12.75">
      <c r="A40" s="141"/>
      <c r="B40" s="142"/>
      <c r="C40" s="142"/>
    </row>
  </sheetData>
  <sheetProtection password="C236" sheet="1" objects="1" formatColumns="0" selectLockedCells="1"/>
  <mergeCells count="28">
    <mergeCell ref="A32:C32"/>
    <mergeCell ref="A33:C33"/>
    <mergeCell ref="A34:C34"/>
    <mergeCell ref="A36:H36"/>
    <mergeCell ref="A38:C38"/>
    <mergeCell ref="H10:H12"/>
    <mergeCell ref="H23:H25"/>
    <mergeCell ref="B10:C12"/>
    <mergeCell ref="A23:C25"/>
    <mergeCell ref="B19:C19"/>
    <mergeCell ref="B20:C20"/>
    <mergeCell ref="B21:C21"/>
    <mergeCell ref="A22:H22"/>
    <mergeCell ref="D23:E23"/>
    <mergeCell ref="F23:G23"/>
    <mergeCell ref="B13:C13"/>
    <mergeCell ref="B14:C14"/>
    <mergeCell ref="B15:C15"/>
    <mergeCell ref="B16:C16"/>
    <mergeCell ref="B17:C17"/>
    <mergeCell ref="B18:C18"/>
    <mergeCell ref="A3:G3"/>
    <mergeCell ref="A4:G4"/>
    <mergeCell ref="A5:G5"/>
    <mergeCell ref="A6:G6"/>
    <mergeCell ref="A7:G7"/>
    <mergeCell ref="D10:E10"/>
    <mergeCell ref="F10:G10"/>
  </mergeCells>
  <conditionalFormatting sqref="A22:H22">
    <cfRule type="expression" priority="3" dxfId="28" stopIfTrue="1">
      <formula>$I$21=1</formula>
    </cfRule>
  </conditionalFormatting>
  <conditionalFormatting sqref="A36:H36">
    <cfRule type="expression" priority="1" dxfId="28" stopIfTrue="1">
      <formula>I35=1</formula>
    </cfRule>
    <cfRule type="expression" priority="2" dxfId="28" stopIfTrue="1">
      <formula>$I$21=1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120" zoomScaleNormal="120" zoomScalePageLayoutView="0" workbookViewId="0" topLeftCell="A1">
      <selection activeCell="B13" sqref="B13:D13"/>
    </sheetView>
  </sheetViews>
  <sheetFormatPr defaultColWidth="9.140625" defaultRowHeight="11.25" customHeight="1"/>
  <cols>
    <col min="1" max="1" width="50.8515625" style="61" customWidth="1"/>
    <col min="2" max="12" width="9.28125" style="61" customWidth="1"/>
    <col min="13" max="13" width="8.00390625" style="61" customWidth="1"/>
    <col min="14" max="16384" width="9.140625" style="61" customWidth="1"/>
  </cols>
  <sheetData>
    <row r="1" spans="1:13" ht="15.75">
      <c r="A1" s="63" t="s">
        <v>911</v>
      </c>
      <c r="B1" s="64"/>
      <c r="C1" s="64"/>
      <c r="M1" s="80"/>
    </row>
    <row r="2" ht="11.25" customHeight="1">
      <c r="M2" s="80"/>
    </row>
    <row r="3" spans="1:13" ht="11.25" customHeight="1">
      <c r="A3" s="1436" t="str">
        <f>+'Informações Iniciais'!A1:B1</f>
        <v>ESTADO DO MARANHÃO - PREFEITURA MUNICIPAL DE DAVINOPOLIS</v>
      </c>
      <c r="B3" s="1436"/>
      <c r="C3" s="1436"/>
      <c r="D3" s="1436"/>
      <c r="E3" s="1436"/>
      <c r="F3" s="1436"/>
      <c r="G3" s="1436"/>
      <c r="H3" s="1436"/>
      <c r="I3" s="1436"/>
      <c r="J3" s="1436"/>
      <c r="K3" s="1436"/>
      <c r="L3" s="1436"/>
      <c r="M3" s="81"/>
    </row>
    <row r="4" spans="1:13" ht="11.25" customHeight="1">
      <c r="A4" s="1436" t="s">
        <v>1</v>
      </c>
      <c r="B4" s="1436"/>
      <c r="C4" s="1436"/>
      <c r="D4" s="1436"/>
      <c r="E4" s="1436"/>
      <c r="F4" s="1436"/>
      <c r="G4" s="1436"/>
      <c r="H4" s="1436"/>
      <c r="I4" s="1436"/>
      <c r="J4" s="1436"/>
      <c r="K4" s="1436"/>
      <c r="L4" s="1436"/>
      <c r="M4" s="81"/>
    </row>
    <row r="5" spans="1:13" ht="11.25" customHeight="1">
      <c r="A5" s="1437" t="s">
        <v>912</v>
      </c>
      <c r="B5" s="1437"/>
      <c r="C5" s="1437"/>
      <c r="D5" s="1437"/>
      <c r="E5" s="1437"/>
      <c r="F5" s="1437"/>
      <c r="G5" s="1437"/>
      <c r="H5" s="1437"/>
      <c r="I5" s="1437"/>
      <c r="J5" s="1437"/>
      <c r="K5" s="1437"/>
      <c r="L5" s="1437"/>
      <c r="M5" s="81"/>
    </row>
    <row r="6" spans="1:13" ht="11.25" customHeight="1">
      <c r="A6" s="1436" t="s">
        <v>30</v>
      </c>
      <c r="B6" s="1436"/>
      <c r="C6" s="1436"/>
      <c r="D6" s="1436"/>
      <c r="E6" s="1436"/>
      <c r="F6" s="1436"/>
      <c r="G6" s="1436"/>
      <c r="H6" s="1436"/>
      <c r="I6" s="1436"/>
      <c r="J6" s="1436"/>
      <c r="K6" s="1436"/>
      <c r="L6" s="1436"/>
      <c r="M6" s="81"/>
    </row>
    <row r="7" spans="1:13" ht="11.25" customHeight="1">
      <c r="A7" s="1436" t="str">
        <f>+'Informações Iniciais'!A5:B5</f>
        <v>1º Bimestre de 2017</v>
      </c>
      <c r="B7" s="1436"/>
      <c r="C7" s="1436"/>
      <c r="D7" s="1436"/>
      <c r="E7" s="1436"/>
      <c r="F7" s="1436"/>
      <c r="G7" s="1436"/>
      <c r="H7" s="1436"/>
      <c r="I7" s="1436"/>
      <c r="J7" s="1436"/>
      <c r="K7" s="1436"/>
      <c r="L7" s="1436"/>
      <c r="M7" s="81"/>
    </row>
    <row r="8" spans="1:13" ht="15.75">
      <c r="A8" s="1438">
        <f>IF(M8&gt;0,"ERRO!!!  Em alguma linha o saldo 'Até o bimestre' está menor que o valor 'No bimestre'. Verifique!!!","")</f>
      </c>
      <c r="B8" s="1438"/>
      <c r="C8" s="1438"/>
      <c r="D8" s="1438"/>
      <c r="E8" s="1438"/>
      <c r="F8" s="1438"/>
      <c r="G8" s="1438"/>
      <c r="H8" s="1438"/>
      <c r="I8" s="1438"/>
      <c r="J8" s="1438"/>
      <c r="K8" s="1438"/>
      <c r="L8" s="1438"/>
      <c r="M8" s="81">
        <f>SUM(M12:M20)</f>
        <v>0</v>
      </c>
    </row>
    <row r="9" spans="1:13" ht="11.25" customHeight="1">
      <c r="A9" s="1439" t="s">
        <v>913</v>
      </c>
      <c r="B9" s="1440"/>
      <c r="C9" s="1440"/>
      <c r="D9" s="1440"/>
      <c r="E9" s="1441"/>
      <c r="F9" s="1441"/>
      <c r="G9" s="1441"/>
      <c r="H9" s="65"/>
      <c r="I9" s="1442"/>
      <c r="J9" s="1442"/>
      <c r="K9" s="1443" t="s">
        <v>32</v>
      </c>
      <c r="L9" s="1443"/>
      <c r="M9" s="81"/>
    </row>
    <row r="10" spans="1:15" s="59" customFormat="1" ht="11.25" customHeight="1">
      <c r="A10" s="1484" t="s">
        <v>914</v>
      </c>
      <c r="B10" s="1444" t="s">
        <v>915</v>
      </c>
      <c r="C10" s="1445"/>
      <c r="D10" s="1446"/>
      <c r="E10" s="1447" t="s">
        <v>916</v>
      </c>
      <c r="F10" s="1447"/>
      <c r="G10" s="1447"/>
      <c r="H10" s="1447"/>
      <c r="I10" s="1447"/>
      <c r="J10" s="82" t="str">
        <f>RIGHT('Informações Iniciais'!IV5,4)</f>
        <v>2017</v>
      </c>
      <c r="K10" s="83"/>
      <c r="L10" s="83"/>
      <c r="M10" s="84"/>
      <c r="O10" s="85" t="s">
        <v>917</v>
      </c>
    </row>
    <row r="11" spans="1:13" s="59" customFormat="1" ht="11.25" customHeight="1">
      <c r="A11" s="1485"/>
      <c r="B11" s="1448" t="str">
        <f>CONCATENATE(O10,(J10-1))</f>
        <v>31 DE DEZEMBRO DE 2016</v>
      </c>
      <c r="C11" s="1449"/>
      <c r="D11" s="1450"/>
      <c r="E11" s="1451" t="s">
        <v>918</v>
      </c>
      <c r="F11" s="1451"/>
      <c r="G11" s="1451"/>
      <c r="H11" s="1452"/>
      <c r="I11" s="1453" t="s">
        <v>919</v>
      </c>
      <c r="J11" s="1451"/>
      <c r="K11" s="1451"/>
      <c r="L11" s="1451"/>
      <c r="M11" s="84"/>
    </row>
    <row r="12" spans="1:13" s="59" customFormat="1" ht="11.25" customHeight="1">
      <c r="A12" s="67" t="s">
        <v>920</v>
      </c>
      <c r="B12" s="1454">
        <f>+B13</f>
        <v>0</v>
      </c>
      <c r="C12" s="1455"/>
      <c r="D12" s="1456"/>
      <c r="E12" s="1457">
        <f>+E13</f>
        <v>0</v>
      </c>
      <c r="F12" s="1458"/>
      <c r="G12" s="1459"/>
      <c r="H12" s="1459"/>
      <c r="I12" s="1460">
        <f>+I13</f>
        <v>0</v>
      </c>
      <c r="J12" s="1461"/>
      <c r="K12" s="1462"/>
      <c r="L12" s="1461"/>
      <c r="M12" s="84">
        <f>IF(E12&gt;I12,1,0)</f>
        <v>0</v>
      </c>
    </row>
    <row r="13" spans="1:13" s="59" customFormat="1" ht="11.25" customHeight="1">
      <c r="A13" s="68" t="s">
        <v>921</v>
      </c>
      <c r="B13" s="1463"/>
      <c r="C13" s="1464"/>
      <c r="D13" s="1465"/>
      <c r="E13" s="1466"/>
      <c r="F13" s="1467"/>
      <c r="G13" s="1468"/>
      <c r="H13" s="1468"/>
      <c r="I13" s="1469"/>
      <c r="J13" s="1470"/>
      <c r="K13" s="1471"/>
      <c r="L13" s="1470"/>
      <c r="M13" s="84"/>
    </row>
    <row r="14" spans="1:13" s="59" customFormat="1" ht="11.25" customHeight="1">
      <c r="A14" s="69" t="s">
        <v>922</v>
      </c>
      <c r="B14" s="1472">
        <f>SUM(B15:D17)</f>
        <v>0</v>
      </c>
      <c r="C14" s="1473"/>
      <c r="D14" s="1474"/>
      <c r="E14" s="1460">
        <f>SUM(E15:H17)</f>
        <v>0</v>
      </c>
      <c r="F14" s="1461"/>
      <c r="G14" s="1462"/>
      <c r="H14" s="1462"/>
      <c r="I14" s="1457">
        <f>SUM(I15:L17)</f>
        <v>0</v>
      </c>
      <c r="J14" s="1458"/>
      <c r="K14" s="1459"/>
      <c r="L14" s="1458"/>
      <c r="M14" s="84">
        <f>IF(E14&gt;I14,1,0)</f>
        <v>0</v>
      </c>
    </row>
    <row r="15" spans="1:13" s="59" customFormat="1" ht="11.25" customHeight="1">
      <c r="A15" s="70" t="s">
        <v>923</v>
      </c>
      <c r="B15" s="1463"/>
      <c r="C15" s="1464"/>
      <c r="D15" s="1465"/>
      <c r="E15" s="1469"/>
      <c r="F15" s="1470"/>
      <c r="G15" s="1471"/>
      <c r="H15" s="1471"/>
      <c r="I15" s="1469"/>
      <c r="J15" s="1470"/>
      <c r="K15" s="1471"/>
      <c r="L15" s="1470"/>
      <c r="M15" s="84"/>
    </row>
    <row r="16" spans="1:13" s="59" customFormat="1" ht="11.25" customHeight="1">
      <c r="A16" s="70" t="s">
        <v>924</v>
      </c>
      <c r="B16" s="1463"/>
      <c r="C16" s="1464"/>
      <c r="D16" s="1465"/>
      <c r="E16" s="1469"/>
      <c r="F16" s="1470"/>
      <c r="G16" s="1471"/>
      <c r="H16" s="1471"/>
      <c r="I16" s="1469"/>
      <c r="J16" s="1470"/>
      <c r="K16" s="1471"/>
      <c r="L16" s="1470"/>
      <c r="M16" s="84"/>
    </row>
    <row r="17" spans="1:13" s="59" customFormat="1" ht="11.25" customHeight="1">
      <c r="A17" s="71" t="s">
        <v>925</v>
      </c>
      <c r="B17" s="1475"/>
      <c r="C17" s="1476"/>
      <c r="D17" s="1477"/>
      <c r="E17" s="1466"/>
      <c r="F17" s="1467"/>
      <c r="G17" s="1468"/>
      <c r="H17" s="1468"/>
      <c r="I17" s="1466"/>
      <c r="J17" s="1467"/>
      <c r="K17" s="1468"/>
      <c r="L17" s="1467"/>
      <c r="M17" s="84"/>
    </row>
    <row r="18" spans="1:13" s="59" customFormat="1" ht="11.25" customHeight="1">
      <c r="A18" s="69" t="s">
        <v>926</v>
      </c>
      <c r="B18" s="1472">
        <f>SUM(B19:D20)</f>
        <v>0</v>
      </c>
      <c r="C18" s="1473"/>
      <c r="D18" s="1474"/>
      <c r="E18" s="1460">
        <f>SUM(E19:H20)</f>
        <v>0</v>
      </c>
      <c r="F18" s="1461"/>
      <c r="G18" s="1462"/>
      <c r="H18" s="1462"/>
      <c r="I18" s="1457">
        <f>SUM(I19:L20)</f>
        <v>0</v>
      </c>
      <c r="J18" s="1458"/>
      <c r="K18" s="1459"/>
      <c r="L18" s="1458"/>
      <c r="M18" s="84">
        <f>IF(E18&gt;I18,1,0)</f>
        <v>0</v>
      </c>
    </row>
    <row r="19" spans="1:13" s="59" customFormat="1" ht="11.25" customHeight="1">
      <c r="A19" s="70" t="s">
        <v>927</v>
      </c>
      <c r="B19" s="1463"/>
      <c r="C19" s="1464"/>
      <c r="D19" s="1465"/>
      <c r="E19" s="1469"/>
      <c r="F19" s="1470"/>
      <c r="G19" s="1471"/>
      <c r="H19" s="1471"/>
      <c r="I19" s="1469"/>
      <c r="J19" s="1470"/>
      <c r="K19" s="1471"/>
      <c r="L19" s="1470"/>
      <c r="M19" s="84"/>
    </row>
    <row r="20" spans="1:13" s="59" customFormat="1" ht="11.25" customHeight="1">
      <c r="A20" s="71" t="s">
        <v>928</v>
      </c>
      <c r="B20" s="1463"/>
      <c r="C20" s="1464"/>
      <c r="D20" s="1465"/>
      <c r="E20" s="1466"/>
      <c r="F20" s="1467"/>
      <c r="G20" s="1468"/>
      <c r="H20" s="1468"/>
      <c r="I20" s="1469"/>
      <c r="J20" s="1470"/>
      <c r="K20" s="1471"/>
      <c r="L20" s="1470"/>
      <c r="M20" s="84"/>
    </row>
    <row r="21" spans="1:13" ht="3" customHeight="1">
      <c r="A21" s="1478"/>
      <c r="B21" s="1478"/>
      <c r="C21" s="1478"/>
      <c r="D21" s="1478"/>
      <c r="E21" s="1479"/>
      <c r="F21" s="1479"/>
      <c r="G21" s="1479"/>
      <c r="H21" s="1479"/>
      <c r="I21" s="1478"/>
      <c r="J21" s="1478"/>
      <c r="K21" s="1478"/>
      <c r="L21" s="1478"/>
      <c r="M21" s="80"/>
    </row>
    <row r="22" spans="1:13" s="60" customFormat="1" ht="11.25" customHeight="1">
      <c r="A22" s="72"/>
      <c r="B22" s="1486" t="s">
        <v>929</v>
      </c>
      <c r="C22" s="1486" t="s">
        <v>930</v>
      </c>
      <c r="D22" s="1486">
        <f>+C24+1</f>
        <v>2018</v>
      </c>
      <c r="E22" s="1486">
        <f>+D22+1</f>
        <v>2019</v>
      </c>
      <c r="F22" s="1486">
        <f aca="true" t="shared" si="0" ref="F22:L22">+E22+1</f>
        <v>2020</v>
      </c>
      <c r="G22" s="1486">
        <f t="shared" si="0"/>
        <v>2021</v>
      </c>
      <c r="H22" s="1486">
        <f t="shared" si="0"/>
        <v>2022</v>
      </c>
      <c r="I22" s="1486">
        <f t="shared" si="0"/>
        <v>2023</v>
      </c>
      <c r="J22" s="1486">
        <f t="shared" si="0"/>
        <v>2024</v>
      </c>
      <c r="K22" s="1486">
        <f t="shared" si="0"/>
        <v>2025</v>
      </c>
      <c r="L22" s="1486">
        <f t="shared" si="0"/>
        <v>2026</v>
      </c>
      <c r="M22" s="86"/>
    </row>
    <row r="23" spans="1:13" ht="11.25" customHeight="1">
      <c r="A23" s="73" t="s">
        <v>931</v>
      </c>
      <c r="B23" s="1487"/>
      <c r="C23" s="1487"/>
      <c r="D23" s="1487"/>
      <c r="E23" s="1487"/>
      <c r="F23" s="1487"/>
      <c r="G23" s="1487"/>
      <c r="H23" s="1487"/>
      <c r="I23" s="1487"/>
      <c r="J23" s="1487"/>
      <c r="K23" s="1487"/>
      <c r="L23" s="1487"/>
      <c r="M23" s="86"/>
    </row>
    <row r="24" spans="1:13" ht="11.25" customHeight="1">
      <c r="A24" s="74"/>
      <c r="B24" s="1488"/>
      <c r="C24" s="66" t="str">
        <f>+J10</f>
        <v>2017</v>
      </c>
      <c r="D24" s="1488"/>
      <c r="E24" s="1488"/>
      <c r="F24" s="1488"/>
      <c r="G24" s="1488"/>
      <c r="H24" s="1488"/>
      <c r="I24" s="1488"/>
      <c r="J24" s="1488"/>
      <c r="K24" s="1488"/>
      <c r="L24" s="1488"/>
      <c r="M24" s="86"/>
    </row>
    <row r="25" spans="1:13" ht="11.25" customHeight="1">
      <c r="A25" s="64" t="s">
        <v>932</v>
      </c>
      <c r="B25" s="75"/>
      <c r="C25" s="75"/>
      <c r="D25" s="75"/>
      <c r="E25" s="75"/>
      <c r="F25" s="75"/>
      <c r="G25" s="75"/>
      <c r="H25" s="75"/>
      <c r="I25" s="75"/>
      <c r="J25" s="75"/>
      <c r="K25" s="87"/>
      <c r="L25" s="75"/>
      <c r="M25" s="88"/>
    </row>
    <row r="26" spans="1:13" ht="11.25" customHeight="1">
      <c r="A26" s="64" t="s">
        <v>933</v>
      </c>
      <c r="B26" s="75"/>
      <c r="C26" s="75"/>
      <c r="D26" s="75"/>
      <c r="E26" s="75"/>
      <c r="F26" s="75"/>
      <c r="G26" s="75"/>
      <c r="H26" s="75"/>
      <c r="I26" s="75"/>
      <c r="J26" s="75"/>
      <c r="K26" s="87"/>
      <c r="L26" s="75"/>
      <c r="M26" s="88"/>
    </row>
    <row r="27" spans="1:13" ht="11.25" customHeight="1">
      <c r="A27" s="68" t="s">
        <v>934</v>
      </c>
      <c r="B27" s="76">
        <f>+B26+B25</f>
        <v>0</v>
      </c>
      <c r="C27" s="76">
        <f aca="true" t="shared" si="1" ref="C27:L27">+C26+C25</f>
        <v>0</v>
      </c>
      <c r="D27" s="76">
        <f t="shared" si="1"/>
        <v>0</v>
      </c>
      <c r="E27" s="76">
        <f t="shared" si="1"/>
        <v>0</v>
      </c>
      <c r="F27" s="76">
        <f t="shared" si="1"/>
        <v>0</v>
      </c>
      <c r="G27" s="76">
        <f t="shared" si="1"/>
        <v>0</v>
      </c>
      <c r="H27" s="76">
        <f t="shared" si="1"/>
        <v>0</v>
      </c>
      <c r="I27" s="76">
        <f t="shared" si="1"/>
        <v>0</v>
      </c>
      <c r="J27" s="76">
        <f t="shared" si="1"/>
        <v>0</v>
      </c>
      <c r="K27" s="76">
        <f t="shared" si="1"/>
        <v>0</v>
      </c>
      <c r="L27" s="76">
        <f t="shared" si="1"/>
        <v>0</v>
      </c>
      <c r="M27" s="88"/>
    </row>
    <row r="28" spans="1:13" ht="11.25" customHeight="1">
      <c r="A28" s="68" t="s">
        <v>935</v>
      </c>
      <c r="B28" s="75"/>
      <c r="C28" s="75"/>
      <c r="D28" s="75"/>
      <c r="E28" s="75"/>
      <c r="F28" s="75"/>
      <c r="G28" s="75"/>
      <c r="H28" s="75"/>
      <c r="I28" s="75"/>
      <c r="J28" s="75"/>
      <c r="K28" s="87"/>
      <c r="L28" s="75"/>
      <c r="M28" s="88"/>
    </row>
    <row r="29" spans="1:13" ht="11.25" customHeight="1">
      <c r="A29" s="77" t="s">
        <v>936</v>
      </c>
      <c r="B29" s="78"/>
      <c r="C29" s="76">
        <f>IF(M29&gt;0,M29,0)</f>
        <v>4092009.3099999987</v>
      </c>
      <c r="D29" s="78"/>
      <c r="E29" s="78"/>
      <c r="F29" s="78"/>
      <c r="G29" s="78"/>
      <c r="H29" s="78"/>
      <c r="I29" s="78"/>
      <c r="J29" s="78"/>
      <c r="K29" s="89"/>
      <c r="L29" s="78"/>
      <c r="M29" s="90">
        <f>+'Anexo 3 - RCL'!N39</f>
        <v>4092009.3099999987</v>
      </c>
    </row>
    <row r="30" spans="1:13" ht="11.25" customHeight="1">
      <c r="A30" s="64" t="s">
        <v>937</v>
      </c>
      <c r="B30" s="76">
        <f>+B25+B28</f>
        <v>0</v>
      </c>
      <c r="C30" s="76">
        <f aca="true" t="shared" si="2" ref="C30:L30">+C25+C28</f>
        <v>0</v>
      </c>
      <c r="D30" s="76">
        <f t="shared" si="2"/>
        <v>0</v>
      </c>
      <c r="E30" s="76">
        <f t="shared" si="2"/>
        <v>0</v>
      </c>
      <c r="F30" s="76">
        <f t="shared" si="2"/>
        <v>0</v>
      </c>
      <c r="G30" s="76">
        <f t="shared" si="2"/>
        <v>0</v>
      </c>
      <c r="H30" s="76">
        <f t="shared" si="2"/>
        <v>0</v>
      </c>
      <c r="I30" s="76">
        <f t="shared" si="2"/>
        <v>0</v>
      </c>
      <c r="J30" s="76">
        <f t="shared" si="2"/>
        <v>0</v>
      </c>
      <c r="K30" s="76">
        <f t="shared" si="2"/>
        <v>0</v>
      </c>
      <c r="L30" s="76">
        <f t="shared" si="2"/>
        <v>0</v>
      </c>
      <c r="M30" s="88"/>
    </row>
    <row r="31" spans="1:13" ht="11.25" customHeight="1">
      <c r="A31" s="77" t="s">
        <v>938</v>
      </c>
      <c r="B31" s="79">
        <f>IF(B29="",0,IF(B29=0,0,+B30/B29))</f>
        <v>0</v>
      </c>
      <c r="C31" s="79">
        <f aca="true" t="shared" si="3" ref="C31:L31">IF(C29="",0,IF(C29=0,0,+C30/C29))</f>
        <v>0</v>
      </c>
      <c r="D31" s="79">
        <f t="shared" si="3"/>
        <v>0</v>
      </c>
      <c r="E31" s="79">
        <f t="shared" si="3"/>
        <v>0</v>
      </c>
      <c r="F31" s="79">
        <f t="shared" si="3"/>
        <v>0</v>
      </c>
      <c r="G31" s="79">
        <f t="shared" si="3"/>
        <v>0</v>
      </c>
      <c r="H31" s="79">
        <f t="shared" si="3"/>
        <v>0</v>
      </c>
      <c r="I31" s="79">
        <f t="shared" si="3"/>
        <v>0</v>
      </c>
      <c r="J31" s="79">
        <f t="shared" si="3"/>
        <v>0</v>
      </c>
      <c r="K31" s="79">
        <f t="shared" si="3"/>
        <v>0</v>
      </c>
      <c r="L31" s="79">
        <f t="shared" si="3"/>
        <v>0</v>
      </c>
      <c r="M31" s="91"/>
    </row>
    <row r="32" spans="1:13" s="62" customFormat="1" ht="11.25" customHeight="1">
      <c r="A32" s="1480" t="s">
        <v>939</v>
      </c>
      <c r="B32" s="1481"/>
      <c r="C32" s="1481"/>
      <c r="D32" s="1481"/>
      <c r="E32" s="1481"/>
      <c r="F32" s="1481"/>
      <c r="G32" s="1481"/>
      <c r="H32" s="1481"/>
      <c r="I32" s="1481"/>
      <c r="J32" s="1481"/>
      <c r="K32" s="1481"/>
      <c r="L32" s="1481"/>
      <c r="M32" s="92"/>
    </row>
    <row r="33" spans="1:13" ht="31.5" customHeight="1">
      <c r="A33" s="1482" t="s">
        <v>155</v>
      </c>
      <c r="B33" s="1482"/>
      <c r="C33" s="1482"/>
      <c r="D33" s="1482"/>
      <c r="E33" s="1482"/>
      <c r="F33" s="1482"/>
      <c r="G33" s="1482"/>
      <c r="H33" s="1482"/>
      <c r="I33" s="1482"/>
      <c r="J33" s="1482"/>
      <c r="K33" s="1482"/>
      <c r="L33" s="1482"/>
      <c r="M33" s="93"/>
    </row>
    <row r="34" spans="1:12" ht="20.25">
      <c r="A34" s="1483" t="s">
        <v>940</v>
      </c>
      <c r="B34" s="1483"/>
      <c r="C34" s="1483"/>
      <c r="D34" s="1483"/>
      <c r="E34" s="1483"/>
      <c r="F34" s="1483"/>
      <c r="G34" s="1483"/>
      <c r="H34" s="1483"/>
      <c r="I34" s="1483"/>
      <c r="J34" s="1483"/>
      <c r="K34" s="1483"/>
      <c r="L34" s="1483"/>
    </row>
  </sheetData>
  <sheetProtection password="C236" sheet="1" objects="1" formatColumns="0" formatRows="0" insertRows="0"/>
  <mergeCells count="58">
    <mergeCell ref="G22:G24"/>
    <mergeCell ref="H22:H24"/>
    <mergeCell ref="I22:I24"/>
    <mergeCell ref="J22:J24"/>
    <mergeCell ref="K22:K24"/>
    <mergeCell ref="L22:L24"/>
    <mergeCell ref="A21:L21"/>
    <mergeCell ref="A32:L32"/>
    <mergeCell ref="A33:L33"/>
    <mergeCell ref="A34:L34"/>
    <mergeCell ref="A10:A11"/>
    <mergeCell ref="B22:B24"/>
    <mergeCell ref="C22:C23"/>
    <mergeCell ref="D22:D24"/>
    <mergeCell ref="E22:E24"/>
    <mergeCell ref="F22:F24"/>
    <mergeCell ref="B19:D19"/>
    <mergeCell ref="E19:H19"/>
    <mergeCell ref="I19:L19"/>
    <mergeCell ref="B20:D20"/>
    <mergeCell ref="E20:H20"/>
    <mergeCell ref="I20:L20"/>
    <mergeCell ref="B17:D17"/>
    <mergeCell ref="E17:H17"/>
    <mergeCell ref="I17:L17"/>
    <mergeCell ref="B18:D18"/>
    <mergeCell ref="E18:H18"/>
    <mergeCell ref="I18:L18"/>
    <mergeCell ref="B15:D15"/>
    <mergeCell ref="E15:H15"/>
    <mergeCell ref="I15:L15"/>
    <mergeCell ref="B16:D16"/>
    <mergeCell ref="E16:H16"/>
    <mergeCell ref="I16:L16"/>
    <mergeCell ref="B13:D13"/>
    <mergeCell ref="E13:H13"/>
    <mergeCell ref="I13:L13"/>
    <mergeCell ref="B14:D14"/>
    <mergeCell ref="E14:H14"/>
    <mergeCell ref="I14:L14"/>
    <mergeCell ref="B11:D11"/>
    <mergeCell ref="E11:H11"/>
    <mergeCell ref="I11:L11"/>
    <mergeCell ref="B12:D12"/>
    <mergeCell ref="E12:H12"/>
    <mergeCell ref="I12:L12"/>
    <mergeCell ref="A9:D9"/>
    <mergeCell ref="E9:G9"/>
    <mergeCell ref="I9:J9"/>
    <mergeCell ref="K9:L9"/>
    <mergeCell ref="B10:D10"/>
    <mergeCell ref="E10:I10"/>
    <mergeCell ref="A3:L3"/>
    <mergeCell ref="A4:L4"/>
    <mergeCell ref="A5:L5"/>
    <mergeCell ref="A6:L6"/>
    <mergeCell ref="A7:L7"/>
    <mergeCell ref="A8:L8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" footer="0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3"/>
  <sheetViews>
    <sheetView showGridLines="0" zoomScalePageLayoutView="0" workbookViewId="0" topLeftCell="A4">
      <selection activeCell="D88" sqref="D88:E88"/>
    </sheetView>
  </sheetViews>
  <sheetFormatPr defaultColWidth="0.9921875" defaultRowHeight="11.25" customHeight="1"/>
  <cols>
    <col min="1" max="1" width="84.7109375" style="3" customWidth="1"/>
    <col min="2" max="2" width="16.421875" style="3" customWidth="1"/>
    <col min="3" max="3" width="16.421875" style="4" customWidth="1"/>
    <col min="4" max="5" width="16.421875" style="3" customWidth="1"/>
    <col min="6" max="59" width="15.7109375" style="3" customWidth="1"/>
    <col min="60" max="16384" width="0.9921875" style="3" customWidth="1"/>
  </cols>
  <sheetData>
    <row r="1" spans="1:5" ht="15.75">
      <c r="A1" s="1489" t="s">
        <v>941</v>
      </c>
      <c r="B1" s="1489"/>
      <c r="C1" s="1489"/>
      <c r="D1" s="1489"/>
      <c r="E1" s="1489"/>
    </row>
    <row r="2" ht="11.25" customHeight="1">
      <c r="A2" s="5"/>
    </row>
    <row r="3" spans="1:5" ht="11.25" customHeight="1">
      <c r="A3" s="1266" t="str">
        <f>+'Informações Iniciais'!A1</f>
        <v>ESTADO DO MARANHÃO - PREFEITURA MUNICIPAL DE DAVINOPOLIS</v>
      </c>
      <c r="B3" s="1266"/>
      <c r="C3" s="1266"/>
      <c r="D3" s="1266"/>
      <c r="E3" s="1266"/>
    </row>
    <row r="4" spans="1:5" ht="11.25" customHeight="1">
      <c r="A4" s="1267" t="s">
        <v>942</v>
      </c>
      <c r="B4" s="1267"/>
      <c r="C4" s="1267"/>
      <c r="D4" s="1267"/>
      <c r="E4" s="1267"/>
    </row>
    <row r="5" spans="1:5" ht="11.25" customHeight="1">
      <c r="A5" s="1266" t="s">
        <v>30</v>
      </c>
      <c r="B5" s="1266"/>
      <c r="C5" s="1266"/>
      <c r="D5" s="1266"/>
      <c r="E5" s="1266"/>
    </row>
    <row r="6" spans="1:5" ht="11.25" customHeight="1">
      <c r="A6" s="1266" t="str">
        <f>+'Informações Iniciais'!A5</f>
        <v>1º Bimestre de 2017</v>
      </c>
      <c r="B6" s="1266"/>
      <c r="C6" s="1266"/>
      <c r="D6" s="1266"/>
      <c r="E6" s="1266"/>
    </row>
    <row r="7" spans="1:5" ht="11.25" customHeight="1">
      <c r="A7" s="6"/>
      <c r="B7" s="6"/>
      <c r="C7" s="6"/>
      <c r="D7" s="6"/>
      <c r="E7" s="6"/>
    </row>
    <row r="8" spans="1:5" ht="11.25" customHeight="1">
      <c r="A8" s="3" t="s">
        <v>943</v>
      </c>
      <c r="B8" s="7"/>
      <c r="E8" s="8" t="s">
        <v>32</v>
      </c>
    </row>
    <row r="9" spans="1:5" s="1" customFormat="1" ht="21" customHeight="1">
      <c r="A9" s="9" t="s">
        <v>29</v>
      </c>
      <c r="B9" s="1490" t="s">
        <v>40</v>
      </c>
      <c r="C9" s="1491"/>
      <c r="D9" s="1491"/>
      <c r="E9" s="1492"/>
    </row>
    <row r="10" spans="1:5" ht="11.25" customHeight="1">
      <c r="A10" s="11" t="s">
        <v>33</v>
      </c>
      <c r="B10" s="1279">
        <f>SUM(B11:E15)</f>
        <v>87645107.42</v>
      </c>
      <c r="C10" s="1323"/>
      <c r="D10" s="1323"/>
      <c r="E10" s="1280"/>
    </row>
    <row r="11" spans="1:5" ht="11.25" customHeight="1">
      <c r="A11" s="12" t="s">
        <v>944</v>
      </c>
      <c r="B11" s="1283">
        <v>41477832.02</v>
      </c>
      <c r="C11" s="1324"/>
      <c r="D11" s="1324"/>
      <c r="E11" s="1284"/>
    </row>
    <row r="12" spans="1:5" ht="11.25" customHeight="1">
      <c r="A12" s="12" t="s">
        <v>945</v>
      </c>
      <c r="B12" s="1283">
        <v>41477832.02</v>
      </c>
      <c r="C12" s="1324"/>
      <c r="D12" s="1324"/>
      <c r="E12" s="1284"/>
    </row>
    <row r="13" spans="1:5" ht="11.25" customHeight="1">
      <c r="A13" s="12" t="s">
        <v>946</v>
      </c>
      <c r="B13" s="1283">
        <v>4689443.38</v>
      </c>
      <c r="C13" s="1324"/>
      <c r="D13" s="1324"/>
      <c r="E13" s="1284"/>
    </row>
    <row r="14" spans="1:5" ht="11.25" customHeight="1">
      <c r="A14" s="12" t="s">
        <v>947</v>
      </c>
      <c r="B14" s="1283"/>
      <c r="C14" s="1324"/>
      <c r="D14" s="1324"/>
      <c r="E14" s="1284"/>
    </row>
    <row r="15" spans="1:5" ht="11.25" customHeight="1">
      <c r="A15" s="12" t="s">
        <v>948</v>
      </c>
      <c r="B15" s="1283"/>
      <c r="C15" s="1324"/>
      <c r="D15" s="1324"/>
      <c r="E15" s="1284"/>
    </row>
    <row r="16" spans="1:5" ht="11.25" customHeight="1">
      <c r="A16" s="11" t="s">
        <v>125</v>
      </c>
      <c r="B16" s="1285">
        <f>SUM(B17:E23)</f>
        <v>84917855.24000001</v>
      </c>
      <c r="C16" s="1493"/>
      <c r="D16" s="1493"/>
      <c r="E16" s="1286"/>
    </row>
    <row r="17" spans="1:5" ht="11.25" customHeight="1">
      <c r="A17" s="17" t="s">
        <v>949</v>
      </c>
      <c r="B17" s="1283">
        <v>36977490.15</v>
      </c>
      <c r="C17" s="1324"/>
      <c r="D17" s="1324"/>
      <c r="E17" s="1284"/>
    </row>
    <row r="18" spans="1:5" ht="11.25" customHeight="1">
      <c r="A18" s="17" t="s">
        <v>950</v>
      </c>
      <c r="B18" s="1283">
        <v>177187.33</v>
      </c>
      <c r="C18" s="1324"/>
      <c r="D18" s="1324"/>
      <c r="E18" s="1284"/>
    </row>
    <row r="19" spans="1:5" ht="11.25" customHeight="1">
      <c r="A19" s="17" t="s">
        <v>951</v>
      </c>
      <c r="B19" s="1283">
        <v>37154677.48</v>
      </c>
      <c r="C19" s="1324"/>
      <c r="D19" s="1324"/>
      <c r="E19" s="1284"/>
    </row>
    <row r="20" spans="1:5" ht="11.25" customHeight="1">
      <c r="A20" s="17" t="s">
        <v>952</v>
      </c>
      <c r="B20" s="1283">
        <v>3877446.84</v>
      </c>
      <c r="C20" s="1324"/>
      <c r="D20" s="1324"/>
      <c r="E20" s="1284"/>
    </row>
    <row r="21" spans="1:5" ht="11.25" customHeight="1">
      <c r="A21" s="12" t="s">
        <v>953</v>
      </c>
      <c r="B21" s="1324">
        <v>2447044.73</v>
      </c>
      <c r="C21" s="1324"/>
      <c r="D21" s="1324"/>
      <c r="E21" s="1284"/>
    </row>
    <row r="22" spans="1:5" ht="11.25" customHeight="1">
      <c r="A22" s="17" t="s">
        <v>954</v>
      </c>
      <c r="B22" s="13"/>
      <c r="C22" s="14"/>
      <c r="D22" s="14"/>
      <c r="E22" s="15">
        <v>2447044.73</v>
      </c>
    </row>
    <row r="23" spans="1:5" ht="11.25" customHeight="1">
      <c r="A23" s="18" t="s">
        <v>955</v>
      </c>
      <c r="B23" s="1289">
        <v>1836963.98</v>
      </c>
      <c r="C23" s="1325"/>
      <c r="D23" s="1325"/>
      <c r="E23" s="1290"/>
    </row>
    <row r="24" spans="1:5" s="1" customFormat="1" ht="21" customHeight="1">
      <c r="A24" s="9" t="s">
        <v>956</v>
      </c>
      <c r="B24" s="1494" t="s">
        <v>40</v>
      </c>
      <c r="C24" s="1495"/>
      <c r="D24" s="1495"/>
      <c r="E24" s="1496"/>
    </row>
    <row r="25" spans="1:5" ht="11.25" customHeight="1">
      <c r="A25" s="17" t="s">
        <v>957</v>
      </c>
      <c r="B25" s="1277">
        <v>3877446.84</v>
      </c>
      <c r="C25" s="1497"/>
      <c r="D25" s="1497"/>
      <c r="E25" s="1278"/>
    </row>
    <row r="26" spans="1:5" ht="11.25" customHeight="1">
      <c r="A26" s="20" t="s">
        <v>958</v>
      </c>
      <c r="B26" s="1283">
        <v>2447044.73</v>
      </c>
      <c r="C26" s="1324"/>
      <c r="D26" s="1324"/>
      <c r="E26" s="1284"/>
    </row>
    <row r="27" spans="1:5" s="1" customFormat="1" ht="23.25" customHeight="1">
      <c r="A27" s="10" t="s">
        <v>959</v>
      </c>
      <c r="B27" s="1491" t="s">
        <v>40</v>
      </c>
      <c r="C27" s="1491"/>
      <c r="D27" s="1491"/>
      <c r="E27" s="1492"/>
    </row>
    <row r="28" spans="1:5" ht="11.25" customHeight="1">
      <c r="A28" s="21" t="s">
        <v>960</v>
      </c>
      <c r="B28" s="1498">
        <v>44625097.98</v>
      </c>
      <c r="C28" s="1499"/>
      <c r="D28" s="1499"/>
      <c r="E28" s="1500"/>
    </row>
    <row r="29" spans="1:4" ht="11.25" customHeight="1">
      <c r="A29" s="17"/>
      <c r="B29" s="22"/>
      <c r="C29" s="23"/>
      <c r="D29" s="24"/>
    </row>
    <row r="30" spans="1:5" s="1" customFormat="1" ht="21.75" customHeight="1">
      <c r="A30" s="9" t="s">
        <v>961</v>
      </c>
      <c r="B30" s="1490" t="s">
        <v>40</v>
      </c>
      <c r="C30" s="1491"/>
      <c r="D30" s="1491"/>
      <c r="E30" s="1492"/>
    </row>
    <row r="31" spans="1:5" s="2" customFormat="1" ht="11.25" customHeight="1">
      <c r="A31" s="17" t="s">
        <v>962</v>
      </c>
      <c r="B31" s="1283"/>
      <c r="C31" s="1324"/>
      <c r="D31" s="1324"/>
      <c r="E31" s="1284"/>
    </row>
    <row r="32" spans="1:5" ht="11.25" customHeight="1">
      <c r="A32" s="17" t="s">
        <v>963</v>
      </c>
      <c r="B32" s="1283"/>
      <c r="C32" s="1324"/>
      <c r="D32" s="1324"/>
      <c r="E32" s="1284"/>
    </row>
    <row r="33" spans="1:5" ht="11.25" customHeight="1">
      <c r="A33" s="17" t="s">
        <v>964</v>
      </c>
      <c r="B33" s="1283"/>
      <c r="C33" s="1324"/>
      <c r="D33" s="1324"/>
      <c r="E33" s="1284"/>
    </row>
    <row r="34" spans="1:5" ht="11.25" customHeight="1">
      <c r="A34" s="17" t="s">
        <v>965</v>
      </c>
      <c r="B34" s="1285">
        <f>+B32-B33</f>
        <v>0</v>
      </c>
      <c r="C34" s="1493"/>
      <c r="D34" s="1493"/>
      <c r="E34" s="1286"/>
    </row>
    <row r="35" spans="1:5" ht="11.25" customHeight="1">
      <c r="A35" s="17" t="s">
        <v>966</v>
      </c>
      <c r="B35" s="1283"/>
      <c r="C35" s="1324"/>
      <c r="D35" s="1324"/>
      <c r="E35" s="1284"/>
    </row>
    <row r="36" spans="1:5" ht="11.25" customHeight="1">
      <c r="A36" s="17" t="s">
        <v>967</v>
      </c>
      <c r="B36" s="1283"/>
      <c r="C36" s="1324"/>
      <c r="D36" s="1324"/>
      <c r="E36" s="1284"/>
    </row>
    <row r="37" spans="1:5" ht="11.25" customHeight="1">
      <c r="A37" s="17" t="s">
        <v>968</v>
      </c>
      <c r="B37" s="1283"/>
      <c r="C37" s="1324"/>
      <c r="D37" s="1324"/>
      <c r="E37" s="1284"/>
    </row>
    <row r="38" spans="1:5" ht="11.25" customHeight="1">
      <c r="A38" s="18" t="s">
        <v>969</v>
      </c>
      <c r="B38" s="1291">
        <f>+B36-B37</f>
        <v>0</v>
      </c>
      <c r="C38" s="1308"/>
      <c r="D38" s="1308"/>
      <c r="E38" s="1292"/>
    </row>
    <row r="39" ht="11.25" customHeight="1">
      <c r="E39" s="17"/>
    </row>
    <row r="40" spans="1:5" ht="11.25" customHeight="1">
      <c r="A40" s="1496" t="s">
        <v>970</v>
      </c>
      <c r="B40" s="25" t="s">
        <v>971</v>
      </c>
      <c r="C40" s="25" t="s">
        <v>972</v>
      </c>
      <c r="D40" s="1494" t="s">
        <v>973</v>
      </c>
      <c r="E40" s="1496"/>
    </row>
    <row r="41" spans="1:5" ht="11.25" customHeight="1">
      <c r="A41" s="1508"/>
      <c r="B41" s="26" t="s">
        <v>974</v>
      </c>
      <c r="C41" s="1533" t="s">
        <v>40</v>
      </c>
      <c r="D41" s="1507"/>
      <c r="E41" s="1508"/>
    </row>
    <row r="42" spans="1:5" ht="11.25" customHeight="1">
      <c r="A42" s="1508"/>
      <c r="B42" s="26" t="s">
        <v>975</v>
      </c>
      <c r="C42" s="1533"/>
      <c r="D42" s="1507"/>
      <c r="E42" s="1508"/>
    </row>
    <row r="43" spans="1:5" ht="11.25" customHeight="1">
      <c r="A43" s="1521"/>
      <c r="B43" s="27" t="s">
        <v>41</v>
      </c>
      <c r="C43" s="27" t="s">
        <v>42</v>
      </c>
      <c r="D43" s="1501" t="s">
        <v>43</v>
      </c>
      <c r="E43" s="1502"/>
    </row>
    <row r="44" spans="1:5" ht="11.25" customHeight="1">
      <c r="A44" s="12" t="s">
        <v>976</v>
      </c>
      <c r="B44" s="29"/>
      <c r="C44" s="30"/>
      <c r="D44" s="1503">
        <f>IF(B44="",0,IF(B44=0,0,+C44/B44))</f>
        <v>0</v>
      </c>
      <c r="E44" s="1504"/>
    </row>
    <row r="45" spans="1:5" ht="11.25" customHeight="1">
      <c r="A45" s="20" t="s">
        <v>977</v>
      </c>
      <c r="B45" s="31"/>
      <c r="C45" s="32">
        <v>4689443.38</v>
      </c>
      <c r="D45" s="1505">
        <f>IF(B45="",0,IF(B45=0,0,+C45/B45))</f>
        <v>0</v>
      </c>
      <c r="E45" s="1506"/>
    </row>
    <row r="47" spans="1:5" ht="11.25" customHeight="1">
      <c r="A47" s="1496" t="s">
        <v>978</v>
      </c>
      <c r="B47" s="1530" t="s">
        <v>979</v>
      </c>
      <c r="C47" s="25" t="s">
        <v>980</v>
      </c>
      <c r="D47" s="33" t="s">
        <v>981</v>
      </c>
      <c r="E47" s="25" t="s">
        <v>982</v>
      </c>
    </row>
    <row r="48" spans="1:5" ht="11.25" customHeight="1">
      <c r="A48" s="1526"/>
      <c r="B48" s="1531"/>
      <c r="C48" s="27" t="s">
        <v>40</v>
      </c>
      <c r="D48" s="34" t="s">
        <v>40</v>
      </c>
      <c r="E48" s="27" t="s">
        <v>983</v>
      </c>
    </row>
    <row r="49" spans="1:5" ht="11.25" customHeight="1">
      <c r="A49" s="12" t="s">
        <v>984</v>
      </c>
      <c r="B49" s="35">
        <f>SUM(B50:B54)</f>
        <v>0</v>
      </c>
      <c r="C49" s="35">
        <f>SUM(C50:C54)</f>
        <v>0</v>
      </c>
      <c r="D49" s="35">
        <f>SUM(D50:D54)</f>
        <v>0</v>
      </c>
      <c r="E49" s="35">
        <f>SUM(E50:E54)</f>
        <v>0</v>
      </c>
    </row>
    <row r="50" spans="1:5" ht="11.25" customHeight="1">
      <c r="A50" s="12" t="s">
        <v>985</v>
      </c>
      <c r="B50" s="29"/>
      <c r="C50" s="29"/>
      <c r="D50" s="29"/>
      <c r="E50" s="29"/>
    </row>
    <row r="51" spans="1:5" ht="11.25" customHeight="1">
      <c r="A51" s="12" t="s">
        <v>986</v>
      </c>
      <c r="B51" s="29"/>
      <c r="C51" s="29"/>
      <c r="D51" s="29"/>
      <c r="E51" s="29"/>
    </row>
    <row r="52" spans="1:5" ht="11.25" customHeight="1">
      <c r="A52" s="12" t="s">
        <v>987</v>
      </c>
      <c r="B52" s="29"/>
      <c r="C52" s="29"/>
      <c r="D52" s="29"/>
      <c r="E52" s="29"/>
    </row>
    <row r="53" spans="1:5" ht="11.25" customHeight="1">
      <c r="A53" s="12" t="s">
        <v>988</v>
      </c>
      <c r="B53" s="29"/>
      <c r="C53" s="29"/>
      <c r="D53" s="29"/>
      <c r="E53" s="29"/>
    </row>
    <row r="54" spans="1:5" ht="11.25" customHeight="1">
      <c r="A54" s="12" t="s">
        <v>989</v>
      </c>
      <c r="B54" s="29"/>
      <c r="C54" s="29"/>
      <c r="D54" s="29"/>
      <c r="E54" s="29"/>
    </row>
    <row r="55" spans="1:5" ht="11.25" customHeight="1">
      <c r="A55" s="12" t="s">
        <v>990</v>
      </c>
      <c r="B55" s="35">
        <f>SUM(B56:B60)</f>
        <v>0</v>
      </c>
      <c r="C55" s="35">
        <f>SUM(C56:C60)</f>
        <v>0</v>
      </c>
      <c r="D55" s="35">
        <f>SUM(D56:D60)</f>
        <v>0</v>
      </c>
      <c r="E55" s="35">
        <f>SUM(E56:E60)</f>
        <v>0</v>
      </c>
    </row>
    <row r="56" spans="1:5" ht="11.25" customHeight="1">
      <c r="A56" s="12" t="s">
        <v>985</v>
      </c>
      <c r="B56" s="29"/>
      <c r="C56" s="30"/>
      <c r="D56" s="30"/>
      <c r="E56" s="36"/>
    </row>
    <row r="57" spans="1:5" ht="11.25" customHeight="1">
      <c r="A57" s="12" t="s">
        <v>986</v>
      </c>
      <c r="B57" s="29"/>
      <c r="C57" s="30"/>
      <c r="D57" s="30"/>
      <c r="E57" s="36"/>
    </row>
    <row r="58" spans="1:5" ht="11.25" customHeight="1">
      <c r="A58" s="12" t="s">
        <v>987</v>
      </c>
      <c r="B58" s="29"/>
      <c r="C58" s="30"/>
      <c r="D58" s="30"/>
      <c r="E58" s="36"/>
    </row>
    <row r="59" spans="1:5" ht="11.25" customHeight="1">
      <c r="A59" s="12" t="s">
        <v>988</v>
      </c>
      <c r="B59" s="29"/>
      <c r="C59" s="30"/>
      <c r="D59" s="37"/>
      <c r="E59" s="38"/>
    </row>
    <row r="60" spans="1:59" ht="11.25" customHeight="1">
      <c r="A60" s="12" t="s">
        <v>989</v>
      </c>
      <c r="B60" s="29"/>
      <c r="C60" s="30"/>
      <c r="D60" s="37"/>
      <c r="E60" s="38"/>
      <c r="F60" s="39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</row>
    <row r="61" spans="1:5" ht="11.25" customHeight="1">
      <c r="A61" s="41" t="s">
        <v>888</v>
      </c>
      <c r="B61" s="42">
        <f>+B55+B49</f>
        <v>0</v>
      </c>
      <c r="C61" s="42">
        <f>+C55+C49</f>
        <v>0</v>
      </c>
      <c r="D61" s="42">
        <f>+D55+D49</f>
        <v>0</v>
      </c>
      <c r="E61" s="42">
        <f>+E55+E49</f>
        <v>0</v>
      </c>
    </row>
    <row r="62" spans="1:5" ht="11.25" customHeight="1">
      <c r="A62" s="43"/>
      <c r="B62" s="1518" t="s">
        <v>991</v>
      </c>
      <c r="C62" s="1509" t="s">
        <v>992</v>
      </c>
      <c r="D62" s="1510"/>
      <c r="E62" s="1511"/>
    </row>
    <row r="63" spans="1:5" ht="11.25" customHeight="1">
      <c r="A63" s="28" t="s">
        <v>993</v>
      </c>
      <c r="B63" s="1532"/>
      <c r="C63" s="1518" t="s">
        <v>994</v>
      </c>
      <c r="D63" s="1494" t="s">
        <v>995</v>
      </c>
      <c r="E63" s="1496"/>
    </row>
    <row r="64" spans="1:5" ht="11.25" customHeight="1">
      <c r="A64" s="44"/>
      <c r="B64" s="1519"/>
      <c r="C64" s="1519"/>
      <c r="D64" s="1520"/>
      <c r="E64" s="1521"/>
    </row>
    <row r="65" spans="1:5" ht="11.25" customHeight="1">
      <c r="A65" s="12" t="s">
        <v>996</v>
      </c>
      <c r="B65" s="36"/>
      <c r="C65" s="45">
        <v>0.25</v>
      </c>
      <c r="D65" s="1512"/>
      <c r="E65" s="1513"/>
    </row>
    <row r="66" spans="1:5" ht="12.75" customHeight="1">
      <c r="A66" s="12" t="s">
        <v>997</v>
      </c>
      <c r="B66" s="36">
        <v>1616735.19</v>
      </c>
      <c r="C66" s="45">
        <v>0.6</v>
      </c>
      <c r="D66" s="1514">
        <v>0.6988</v>
      </c>
      <c r="E66" s="1515"/>
    </row>
    <row r="67" spans="1:5" ht="11.25" customHeight="1">
      <c r="A67" s="12" t="s">
        <v>998</v>
      </c>
      <c r="B67" s="36"/>
      <c r="C67" s="45">
        <v>0.6</v>
      </c>
      <c r="D67" s="1514"/>
      <c r="E67" s="1515"/>
    </row>
    <row r="68" spans="1:5" ht="11.25" customHeight="1">
      <c r="A68" s="20" t="s">
        <v>999</v>
      </c>
      <c r="B68" s="46"/>
      <c r="C68" s="47" t="s">
        <v>1000</v>
      </c>
      <c r="D68" s="1516"/>
      <c r="E68" s="1517"/>
    </row>
    <row r="69" spans="1:5" s="1" customFormat="1" ht="21.75" customHeight="1">
      <c r="A69" s="19" t="s">
        <v>1001</v>
      </c>
      <c r="B69" s="1490" t="s">
        <v>1002</v>
      </c>
      <c r="C69" s="1492"/>
      <c r="D69" s="1490" t="s">
        <v>1003</v>
      </c>
      <c r="E69" s="1492"/>
    </row>
    <row r="70" spans="1:5" ht="11.25" customHeight="1">
      <c r="A70" s="48" t="s">
        <v>1004</v>
      </c>
      <c r="B70" s="1277"/>
      <c r="C70" s="1278"/>
      <c r="D70" s="1277">
        <v>6289855.91</v>
      </c>
      <c r="E70" s="1278"/>
    </row>
    <row r="71" spans="1:5" ht="11.25" customHeight="1">
      <c r="A71" s="20" t="s">
        <v>1005</v>
      </c>
      <c r="B71" s="1289"/>
      <c r="C71" s="1290"/>
      <c r="D71" s="1289"/>
      <c r="E71" s="1290"/>
    </row>
    <row r="72" spans="1:5" s="1" customFormat="1" ht="21.75" customHeight="1">
      <c r="A72" s="9" t="s">
        <v>1006</v>
      </c>
      <c r="B72" s="49" t="s">
        <v>1007</v>
      </c>
      <c r="C72" s="50" t="s">
        <v>1008</v>
      </c>
      <c r="D72" s="49" t="s">
        <v>1009</v>
      </c>
      <c r="E72" s="49" t="s">
        <v>1010</v>
      </c>
    </row>
    <row r="73" spans="1:5" ht="11.25" customHeight="1">
      <c r="A73" s="12" t="s">
        <v>962</v>
      </c>
      <c r="B73" s="51"/>
      <c r="C73" s="51"/>
      <c r="D73" s="51"/>
      <c r="E73" s="51"/>
    </row>
    <row r="74" spans="1:5" ht="11.25" customHeight="1">
      <c r="A74" s="12" t="s">
        <v>1011</v>
      </c>
      <c r="B74" s="36"/>
      <c r="C74" s="36"/>
      <c r="D74" s="36"/>
      <c r="E74" s="36"/>
    </row>
    <row r="75" spans="1:5" ht="11.25" customHeight="1">
      <c r="A75" s="12" t="s">
        <v>1012</v>
      </c>
      <c r="B75" s="36"/>
      <c r="C75" s="36"/>
      <c r="D75" s="36"/>
      <c r="E75" s="36"/>
    </row>
    <row r="76" spans="1:5" ht="11.25" customHeight="1">
      <c r="A76" s="12" t="s">
        <v>965</v>
      </c>
      <c r="B76" s="52">
        <f>+B74-B75</f>
        <v>0</v>
      </c>
      <c r="C76" s="52">
        <f>+C74-C75</f>
        <v>0</v>
      </c>
      <c r="D76" s="52">
        <f>+D74-D75</f>
        <v>0</v>
      </c>
      <c r="E76" s="52">
        <f>+E74-E75</f>
        <v>0</v>
      </c>
    </row>
    <row r="77" spans="1:5" ht="11.25" customHeight="1">
      <c r="A77" s="12" t="s">
        <v>966</v>
      </c>
      <c r="B77" s="36"/>
      <c r="C77" s="36"/>
      <c r="D77" s="36"/>
      <c r="E77" s="36"/>
    </row>
    <row r="78" spans="1:5" ht="11.25" customHeight="1">
      <c r="A78" s="12" t="s">
        <v>1013</v>
      </c>
      <c r="B78" s="36"/>
      <c r="C78" s="36"/>
      <c r="D78" s="36"/>
      <c r="E78" s="36"/>
    </row>
    <row r="79" spans="1:5" ht="11.25" customHeight="1">
      <c r="A79" s="12" t="s">
        <v>1014</v>
      </c>
      <c r="B79" s="36"/>
      <c r="C79" s="36"/>
      <c r="D79" s="36"/>
      <c r="E79" s="36"/>
    </row>
    <row r="80" spans="1:5" ht="11.25" customHeight="1">
      <c r="A80" s="12" t="s">
        <v>969</v>
      </c>
      <c r="B80" s="52">
        <f>+B78-B79</f>
        <v>0</v>
      </c>
      <c r="C80" s="52">
        <f>+C78-C79</f>
        <v>0</v>
      </c>
      <c r="D80" s="52">
        <f>+D78-D79</f>
        <v>0</v>
      </c>
      <c r="E80" s="52">
        <f>+E78-E79</f>
        <v>0</v>
      </c>
    </row>
    <row r="81" spans="1:5" s="1" customFormat="1" ht="21" customHeight="1">
      <c r="A81" s="9" t="s">
        <v>1015</v>
      </c>
      <c r="B81" s="1490" t="s">
        <v>1016</v>
      </c>
      <c r="C81" s="1492"/>
      <c r="D81" s="1490" t="s">
        <v>1017</v>
      </c>
      <c r="E81" s="1492"/>
    </row>
    <row r="82" spans="1:5" ht="11.25" customHeight="1">
      <c r="A82" s="12" t="s">
        <v>1018</v>
      </c>
      <c r="B82" s="1277"/>
      <c r="C82" s="1278"/>
      <c r="D82" s="1277"/>
      <c r="E82" s="1278"/>
    </row>
    <row r="83" spans="1:5" ht="11.25" customHeight="1">
      <c r="A83" s="20" t="s">
        <v>1019</v>
      </c>
      <c r="B83" s="1289"/>
      <c r="C83" s="1290"/>
      <c r="D83" s="1289"/>
      <c r="E83" s="1290"/>
    </row>
    <row r="84" spans="1:2" ht="11.25" customHeight="1">
      <c r="A84" s="18"/>
      <c r="B84" s="18"/>
    </row>
    <row r="85" spans="1:5" ht="11.25" customHeight="1">
      <c r="A85" s="1527" t="s">
        <v>1020</v>
      </c>
      <c r="B85" s="1518" t="s">
        <v>991</v>
      </c>
      <c r="C85" s="1509" t="s">
        <v>1021</v>
      </c>
      <c r="D85" s="1510"/>
      <c r="E85" s="1511"/>
    </row>
    <row r="86" spans="1:5" ht="11.25" customHeight="1">
      <c r="A86" s="1528"/>
      <c r="B86" s="1532"/>
      <c r="C86" s="1518" t="s">
        <v>994</v>
      </c>
      <c r="D86" s="1494" t="s">
        <v>995</v>
      </c>
      <c r="E86" s="1496"/>
    </row>
    <row r="87" spans="1:5" ht="11.25" customHeight="1">
      <c r="A87" s="1529"/>
      <c r="B87" s="1519"/>
      <c r="C87" s="1519"/>
      <c r="D87" s="1520"/>
      <c r="E87" s="1521"/>
    </row>
    <row r="88" spans="1:5" ht="11.25" customHeight="1">
      <c r="A88" s="41" t="s">
        <v>1022</v>
      </c>
      <c r="B88" s="53">
        <v>388975.92</v>
      </c>
      <c r="C88" s="54">
        <v>0.15</v>
      </c>
      <c r="D88" s="1522">
        <v>0.2121</v>
      </c>
      <c r="E88" s="1523"/>
    </row>
    <row r="89" spans="1:5" ht="11.25" customHeight="1">
      <c r="A89" s="21"/>
      <c r="B89" s="21"/>
      <c r="C89" s="55"/>
      <c r="D89" s="21"/>
      <c r="E89" s="21"/>
    </row>
    <row r="90" spans="1:5" s="1" customFormat="1" ht="21.75" customHeight="1">
      <c r="A90" s="56" t="s">
        <v>1023</v>
      </c>
      <c r="B90" s="1490" t="s">
        <v>1024</v>
      </c>
      <c r="C90" s="1491"/>
      <c r="D90" s="1491"/>
      <c r="E90" s="1492"/>
    </row>
    <row r="91" spans="1:5" ht="11.25" customHeight="1">
      <c r="A91" s="57" t="s">
        <v>1025</v>
      </c>
      <c r="B91" s="1522"/>
      <c r="C91" s="1524"/>
      <c r="D91" s="1524"/>
      <c r="E91" s="1523"/>
    </row>
    <row r="92" spans="1:21" ht="25.5" customHeight="1">
      <c r="A92" s="1525" t="s">
        <v>155</v>
      </c>
      <c r="B92" s="1525"/>
      <c r="C92" s="1525"/>
      <c r="D92" s="1525"/>
      <c r="E92" s="1525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ht="11.25" customHeight="1">
      <c r="A93" s="17"/>
    </row>
  </sheetData>
  <sheetProtection password="C236" sheet="1" objects="1" formatColumns="0" selectLockedCells="1"/>
  <mergeCells count="70">
    <mergeCell ref="B90:E90"/>
    <mergeCell ref="B91:E91"/>
    <mergeCell ref="A92:E92"/>
    <mergeCell ref="A40:A43"/>
    <mergeCell ref="A47:A48"/>
    <mergeCell ref="A85:A87"/>
    <mergeCell ref="B47:B48"/>
    <mergeCell ref="B62:B64"/>
    <mergeCell ref="B85:B87"/>
    <mergeCell ref="C41:C42"/>
    <mergeCell ref="B82:C82"/>
    <mergeCell ref="D82:E82"/>
    <mergeCell ref="B83:C83"/>
    <mergeCell ref="D83:E83"/>
    <mergeCell ref="C85:E85"/>
    <mergeCell ref="D88:E88"/>
    <mergeCell ref="C86:C87"/>
    <mergeCell ref="D86:E87"/>
    <mergeCell ref="B70:C70"/>
    <mergeCell ref="D70:E70"/>
    <mergeCell ref="B71:C71"/>
    <mergeCell ref="D71:E71"/>
    <mergeCell ref="B81:C81"/>
    <mergeCell ref="D81:E81"/>
    <mergeCell ref="C62:E62"/>
    <mergeCell ref="D65:E65"/>
    <mergeCell ref="D66:E66"/>
    <mergeCell ref="D67:E67"/>
    <mergeCell ref="D68:E68"/>
    <mergeCell ref="B69:C69"/>
    <mergeCell ref="D69:E69"/>
    <mergeCell ref="C63:C64"/>
    <mergeCell ref="D63:E64"/>
    <mergeCell ref="B36:E36"/>
    <mergeCell ref="B37:E37"/>
    <mergeCell ref="B38:E38"/>
    <mergeCell ref="D43:E43"/>
    <mergeCell ref="D44:E44"/>
    <mergeCell ref="D45:E45"/>
    <mergeCell ref="D40:E42"/>
    <mergeCell ref="B30:E30"/>
    <mergeCell ref="B31:E31"/>
    <mergeCell ref="B32:E32"/>
    <mergeCell ref="B33:E33"/>
    <mergeCell ref="B34:E34"/>
    <mergeCell ref="B35:E35"/>
    <mergeCell ref="B23:E23"/>
    <mergeCell ref="B24:E24"/>
    <mergeCell ref="B25:E25"/>
    <mergeCell ref="B26:E26"/>
    <mergeCell ref="B27:E27"/>
    <mergeCell ref="B28:E28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E1"/>
    <mergeCell ref="A3:E3"/>
    <mergeCell ref="A4:E4"/>
    <mergeCell ref="A5:E5"/>
    <mergeCell ref="A6:E6"/>
    <mergeCell ref="B9:E9"/>
  </mergeCells>
  <printOptions horizontalCentered="1" verticalCentered="1"/>
  <pageMargins left="0" right="0" top="0" bottom="0" header="0" footer="0"/>
  <pageSetup horizontalDpi="600" verticalDpi="6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"/>
  <sheetViews>
    <sheetView showGridLines="0" zoomScale="93" zoomScaleNormal="93" zoomScalePageLayoutView="0" workbookViewId="0" topLeftCell="A1">
      <selection activeCell="B106" sqref="B106"/>
    </sheetView>
  </sheetViews>
  <sheetFormatPr defaultColWidth="9.140625" defaultRowHeight="11.25" customHeight="1"/>
  <cols>
    <col min="1" max="1" width="47.140625" style="480" customWidth="1"/>
    <col min="2" max="11" width="13.00390625" style="480" customWidth="1"/>
    <col min="12" max="12" width="22.421875" style="480" customWidth="1"/>
    <col min="13" max="13" width="42.00390625" style="480" customWidth="1"/>
    <col min="14" max="14" width="18.57421875" style="480" customWidth="1"/>
    <col min="15" max="15" width="6.57421875" style="480" customWidth="1"/>
    <col min="16" max="17" width="15.421875" style="480" customWidth="1"/>
    <col min="18" max="18" width="22.00390625" style="480" customWidth="1"/>
    <col min="19" max="19" width="13.421875" style="480" customWidth="1"/>
    <col min="20" max="16384" width="9.140625" style="480" customWidth="1"/>
  </cols>
  <sheetData>
    <row r="1" spans="1:12" ht="15.75">
      <c r="A1" s="667" t="s">
        <v>28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</row>
    <row r="2" spans="1:12" ht="11.25" customHeight="1">
      <c r="A2" s="668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</row>
    <row r="3" spans="1:12" ht="11.25" customHeight="1">
      <c r="A3" s="782" t="str">
        <f>+'Informações Iniciais'!A1</f>
        <v>ESTADO DO MARANHÃO - PREFEITURA MUNICIPAL DE DAVINOPOLIS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</row>
    <row r="4" spans="1:12" ht="11.25" customHeight="1">
      <c r="A4" s="783" t="s">
        <v>1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495"/>
    </row>
    <row r="5" spans="1:12" ht="11.25" customHeight="1">
      <c r="A5" s="784" t="s">
        <v>29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495"/>
    </row>
    <row r="6" spans="1:12" ht="11.25" customHeight="1">
      <c r="A6" s="785" t="s">
        <v>30</v>
      </c>
      <c r="B6" s="785"/>
      <c r="C6" s="785"/>
      <c r="D6" s="785"/>
      <c r="E6" s="785"/>
      <c r="F6" s="785"/>
      <c r="G6" s="785"/>
      <c r="H6" s="785"/>
      <c r="I6" s="785"/>
      <c r="J6" s="785"/>
      <c r="K6" s="785"/>
      <c r="L6" s="495"/>
    </row>
    <row r="7" spans="1:12" ht="11.25" customHeight="1">
      <c r="A7" s="782" t="str">
        <f>+'Informações Iniciais'!A5</f>
        <v>1º Bimestre de 2017</v>
      </c>
      <c r="B7" s="782"/>
      <c r="C7" s="782"/>
      <c r="D7" s="782"/>
      <c r="E7" s="782"/>
      <c r="F7" s="782"/>
      <c r="G7" s="782"/>
      <c r="H7" s="782"/>
      <c r="I7" s="782"/>
      <c r="J7" s="782"/>
      <c r="K7" s="782"/>
      <c r="L7" s="782"/>
    </row>
    <row r="8" spans="1:12" ht="11.25" customHeight="1">
      <c r="A8" s="669"/>
      <c r="B8" s="669"/>
      <c r="C8" s="669"/>
      <c r="D8" s="669"/>
      <c r="E8" s="669"/>
      <c r="F8" s="669"/>
      <c r="G8" s="669"/>
      <c r="H8" s="369"/>
      <c r="I8" s="369"/>
      <c r="J8" s="686"/>
      <c r="K8" s="686"/>
      <c r="L8" s="495"/>
    </row>
    <row r="9" spans="1:12" ht="11.25" customHeight="1">
      <c r="A9" s="670" t="s">
        <v>31</v>
      </c>
      <c r="B9" s="485"/>
      <c r="C9" s="485"/>
      <c r="D9" s="485"/>
      <c r="E9" s="671"/>
      <c r="F9" s="485"/>
      <c r="G9" s="485"/>
      <c r="H9" s="672"/>
      <c r="I9" s="686"/>
      <c r="J9" s="687"/>
      <c r="K9" s="495"/>
      <c r="L9" s="687" t="s">
        <v>32</v>
      </c>
    </row>
    <row r="10" spans="1:12" ht="11.25" customHeight="1">
      <c r="A10" s="789" t="s">
        <v>33</v>
      </c>
      <c r="B10" s="856" t="s">
        <v>34</v>
      </c>
      <c r="C10" s="857"/>
      <c r="D10" s="856" t="s">
        <v>35</v>
      </c>
      <c r="E10" s="857"/>
      <c r="F10" s="786" t="s">
        <v>36</v>
      </c>
      <c r="G10" s="787"/>
      <c r="H10" s="787"/>
      <c r="I10" s="787"/>
      <c r="J10" s="787"/>
      <c r="K10" s="788"/>
      <c r="L10" s="854" t="s">
        <v>37</v>
      </c>
    </row>
    <row r="11" spans="1:12" ht="12.75" customHeight="1">
      <c r="A11" s="790"/>
      <c r="B11" s="858"/>
      <c r="C11" s="859"/>
      <c r="D11" s="858"/>
      <c r="E11" s="859"/>
      <c r="F11" s="792" t="s">
        <v>38</v>
      </c>
      <c r="G11" s="793"/>
      <c r="H11" s="674" t="s">
        <v>39</v>
      </c>
      <c r="I11" s="794" t="s">
        <v>40</v>
      </c>
      <c r="J11" s="795"/>
      <c r="K11" s="673" t="s">
        <v>39</v>
      </c>
      <c r="L11" s="855"/>
    </row>
    <row r="12" spans="1:12" ht="11.25" customHeight="1">
      <c r="A12" s="791"/>
      <c r="B12" s="860"/>
      <c r="C12" s="861"/>
      <c r="D12" s="796" t="s">
        <v>41</v>
      </c>
      <c r="E12" s="797"/>
      <c r="F12" s="796" t="s">
        <v>42</v>
      </c>
      <c r="G12" s="797"/>
      <c r="H12" s="676" t="s">
        <v>43</v>
      </c>
      <c r="I12" s="796" t="s">
        <v>44</v>
      </c>
      <c r="J12" s="797"/>
      <c r="K12" s="675" t="s">
        <v>45</v>
      </c>
      <c r="L12" s="688" t="s">
        <v>46</v>
      </c>
    </row>
    <row r="13" spans="1:12" ht="12.75">
      <c r="A13" s="677" t="s">
        <v>47</v>
      </c>
      <c r="B13" s="798">
        <f>+B14+B54</f>
        <v>36977490.150000006</v>
      </c>
      <c r="C13" s="799"/>
      <c r="D13" s="798">
        <f>+D14+D54</f>
        <v>36977490.150000006</v>
      </c>
      <c r="E13" s="799"/>
      <c r="F13" s="798">
        <f>+F14+F54</f>
        <v>3104858.18</v>
      </c>
      <c r="G13" s="799"/>
      <c r="H13" s="678">
        <f>IF(D13="",0,IF(D13=0,0,+F13/D13))</f>
        <v>0.0839661688071601</v>
      </c>
      <c r="I13" s="798">
        <f>+I14+I54</f>
        <v>4689443.38</v>
      </c>
      <c r="J13" s="799"/>
      <c r="K13" s="678">
        <f>IF(D13="",0,IF(D13=0,0,I13/D13))</f>
        <v>0.12681886631507897</v>
      </c>
      <c r="L13" s="689">
        <f>+D13-I13</f>
        <v>32288046.770000007</v>
      </c>
    </row>
    <row r="14" spans="1:12" ht="12.75">
      <c r="A14" s="679" t="s">
        <v>48</v>
      </c>
      <c r="B14" s="800">
        <f>+B15+B19+B23+B31+B35+B40+B41+B48</f>
        <v>41477832.02</v>
      </c>
      <c r="C14" s="801"/>
      <c r="D14" s="800">
        <f>+D15+D19+D23+D31+D35+D40+D41+D48</f>
        <v>41477832.02</v>
      </c>
      <c r="E14" s="801"/>
      <c r="F14" s="800">
        <f>+F15+F19+F23+F31+F35+F40+F41+F48</f>
        <v>3104858.18</v>
      </c>
      <c r="G14" s="801"/>
      <c r="H14" s="680">
        <f aca="true" t="shared" si="0" ref="H14:H74">IF(D14="",0,IF(D14=0,0,+F14/D14))</f>
        <v>0.07485584537067615</v>
      </c>
      <c r="I14" s="800">
        <f>+I15+I19+I23+I31+I35+I40+I41+I48</f>
        <v>4689443.38</v>
      </c>
      <c r="J14" s="801"/>
      <c r="K14" s="680">
        <f aca="true" t="shared" si="1" ref="K14:K76">IF(D14="",0,IF(D14=0,0,I14/D14))</f>
        <v>0.11305902819942033</v>
      </c>
      <c r="L14" s="690">
        <f aca="true" t="shared" si="2" ref="L14:L74">+D14-I14</f>
        <v>36788388.64</v>
      </c>
    </row>
    <row r="15" spans="1:12" ht="12.75">
      <c r="A15" s="628" t="s">
        <v>49</v>
      </c>
      <c r="B15" s="802">
        <f>SUM(B16:C18)</f>
        <v>515074.07</v>
      </c>
      <c r="C15" s="803"/>
      <c r="D15" s="802">
        <f>SUM(D16:E18)</f>
        <v>515074.07</v>
      </c>
      <c r="E15" s="803"/>
      <c r="F15" s="802">
        <f>SUM(F16:G18)</f>
        <v>28321.96</v>
      </c>
      <c r="G15" s="803"/>
      <c r="H15" s="681">
        <f t="shared" si="0"/>
        <v>0.05498618868544479</v>
      </c>
      <c r="I15" s="802">
        <f>SUM(I16:J18)</f>
        <v>152786.92</v>
      </c>
      <c r="J15" s="803"/>
      <c r="K15" s="681">
        <f t="shared" si="1"/>
        <v>0.296630968046984</v>
      </c>
      <c r="L15" s="645">
        <f t="shared" si="2"/>
        <v>362287.15</v>
      </c>
    </row>
    <row r="16" spans="1:12" ht="12.75">
      <c r="A16" s="630" t="s">
        <v>50</v>
      </c>
      <c r="B16" s="804">
        <v>453181.07</v>
      </c>
      <c r="C16" s="805"/>
      <c r="D16" s="804">
        <v>453181.07</v>
      </c>
      <c r="E16" s="805"/>
      <c r="F16" s="804">
        <v>28321.96</v>
      </c>
      <c r="G16" s="805"/>
      <c r="H16" s="185">
        <f t="shared" si="0"/>
        <v>0.062495902575983586</v>
      </c>
      <c r="I16" s="804">
        <v>152786.92</v>
      </c>
      <c r="J16" s="805"/>
      <c r="K16" s="185">
        <f t="shared" si="1"/>
        <v>0.33714320856341157</v>
      </c>
      <c r="L16" s="492">
        <f t="shared" si="2"/>
        <v>300394.15</v>
      </c>
    </row>
    <row r="17" spans="1:12" ht="12.75">
      <c r="A17" s="630" t="s">
        <v>51</v>
      </c>
      <c r="B17" s="804">
        <v>44436</v>
      </c>
      <c r="C17" s="805"/>
      <c r="D17" s="804">
        <v>44436</v>
      </c>
      <c r="E17" s="805"/>
      <c r="F17" s="804"/>
      <c r="G17" s="805"/>
      <c r="H17" s="185">
        <f t="shared" si="0"/>
        <v>0</v>
      </c>
      <c r="I17" s="804"/>
      <c r="J17" s="805"/>
      <c r="K17" s="185">
        <f t="shared" si="1"/>
        <v>0</v>
      </c>
      <c r="L17" s="492">
        <f t="shared" si="2"/>
        <v>44436</v>
      </c>
    </row>
    <row r="18" spans="1:12" ht="12.75">
      <c r="A18" s="630" t="s">
        <v>52</v>
      </c>
      <c r="B18" s="804">
        <v>17457</v>
      </c>
      <c r="C18" s="805"/>
      <c r="D18" s="804">
        <v>17457</v>
      </c>
      <c r="E18" s="805"/>
      <c r="F18" s="804"/>
      <c r="G18" s="805"/>
      <c r="H18" s="185">
        <f t="shared" si="0"/>
        <v>0</v>
      </c>
      <c r="I18" s="804"/>
      <c r="J18" s="805"/>
      <c r="K18" s="185">
        <f t="shared" si="1"/>
        <v>0</v>
      </c>
      <c r="L18" s="492">
        <f t="shared" si="2"/>
        <v>17457</v>
      </c>
    </row>
    <row r="19" spans="1:12" ht="12.75">
      <c r="A19" s="628" t="s">
        <v>53</v>
      </c>
      <c r="B19" s="802">
        <f>SUM(B20:C22)</f>
        <v>132250</v>
      </c>
      <c r="C19" s="803"/>
      <c r="D19" s="802">
        <f>SUM(D20:E22)</f>
        <v>132250</v>
      </c>
      <c r="E19" s="803"/>
      <c r="F19" s="802">
        <f>SUM(F20:G22)</f>
        <v>0</v>
      </c>
      <c r="G19" s="803"/>
      <c r="H19" s="681">
        <f t="shared" si="0"/>
        <v>0</v>
      </c>
      <c r="I19" s="802">
        <f>SUM(I20:J22)</f>
        <v>0</v>
      </c>
      <c r="J19" s="803"/>
      <c r="K19" s="681">
        <f t="shared" si="1"/>
        <v>0</v>
      </c>
      <c r="L19" s="645">
        <f t="shared" si="2"/>
        <v>132250</v>
      </c>
    </row>
    <row r="20" spans="1:12" ht="12.75">
      <c r="A20" s="630" t="s">
        <v>54</v>
      </c>
      <c r="B20" s="804"/>
      <c r="C20" s="805"/>
      <c r="D20" s="804"/>
      <c r="E20" s="805"/>
      <c r="F20" s="804"/>
      <c r="G20" s="805"/>
      <c r="H20" s="185">
        <f t="shared" si="0"/>
        <v>0</v>
      </c>
      <c r="I20" s="804"/>
      <c r="J20" s="805"/>
      <c r="K20" s="185">
        <f t="shared" si="1"/>
        <v>0</v>
      </c>
      <c r="L20" s="492">
        <f t="shared" si="2"/>
        <v>0</v>
      </c>
    </row>
    <row r="21" spans="1:12" ht="12.75">
      <c r="A21" s="630" t="s">
        <v>55</v>
      </c>
      <c r="B21" s="804">
        <v>132250</v>
      </c>
      <c r="C21" s="805"/>
      <c r="D21" s="804">
        <v>132250</v>
      </c>
      <c r="E21" s="805"/>
      <c r="F21" s="804"/>
      <c r="G21" s="805"/>
      <c r="H21" s="185">
        <f t="shared" si="0"/>
        <v>0</v>
      </c>
      <c r="I21" s="804"/>
      <c r="J21" s="805"/>
      <c r="K21" s="185">
        <f t="shared" si="1"/>
        <v>0</v>
      </c>
      <c r="L21" s="492">
        <f t="shared" si="2"/>
        <v>132250</v>
      </c>
    </row>
    <row r="22" spans="1:12" ht="12.75">
      <c r="A22" s="630" t="s">
        <v>56</v>
      </c>
      <c r="B22" s="804"/>
      <c r="C22" s="805"/>
      <c r="D22" s="804"/>
      <c r="E22" s="805"/>
      <c r="F22" s="804"/>
      <c r="G22" s="805"/>
      <c r="H22" s="185">
        <f t="shared" si="0"/>
        <v>0</v>
      </c>
      <c r="I22" s="804"/>
      <c r="J22" s="805"/>
      <c r="K22" s="185">
        <f t="shared" si="1"/>
        <v>0</v>
      </c>
      <c r="L22" s="492">
        <f t="shared" si="2"/>
        <v>0</v>
      </c>
    </row>
    <row r="23" spans="1:12" ht="12.75">
      <c r="A23" s="628" t="s">
        <v>57</v>
      </c>
      <c r="B23" s="802">
        <f>SUM(B24:C30)</f>
        <v>100450.48</v>
      </c>
      <c r="C23" s="803"/>
      <c r="D23" s="802">
        <f>SUM(D24:E30)</f>
        <v>100450.48</v>
      </c>
      <c r="E23" s="803"/>
      <c r="F23" s="802">
        <f>SUM(F24:G30)</f>
        <v>7619</v>
      </c>
      <c r="G23" s="803"/>
      <c r="H23" s="681">
        <f t="shared" si="0"/>
        <v>0.07584831849484443</v>
      </c>
      <c r="I23" s="802">
        <f>SUM(I24:J30)</f>
        <v>10108.12</v>
      </c>
      <c r="J23" s="803"/>
      <c r="K23" s="681">
        <f t="shared" si="1"/>
        <v>0.10062789147448575</v>
      </c>
      <c r="L23" s="645">
        <f t="shared" si="2"/>
        <v>90342.36</v>
      </c>
    </row>
    <row r="24" spans="1:12" ht="12.75">
      <c r="A24" s="630" t="s">
        <v>58</v>
      </c>
      <c r="B24" s="804">
        <v>52767.75</v>
      </c>
      <c r="C24" s="805"/>
      <c r="D24" s="804">
        <v>52767.75</v>
      </c>
      <c r="E24" s="805"/>
      <c r="F24" s="804"/>
      <c r="G24" s="805"/>
      <c r="H24" s="185">
        <f t="shared" si="0"/>
        <v>0</v>
      </c>
      <c r="I24" s="804"/>
      <c r="J24" s="805"/>
      <c r="K24" s="185">
        <f t="shared" si="1"/>
        <v>0</v>
      </c>
      <c r="L24" s="492">
        <f t="shared" si="2"/>
        <v>52767.75</v>
      </c>
    </row>
    <row r="25" spans="1:12" ht="12.75">
      <c r="A25" s="630" t="s">
        <v>59</v>
      </c>
      <c r="B25" s="804">
        <v>40078.36</v>
      </c>
      <c r="C25" s="805"/>
      <c r="D25" s="804">
        <v>40078.36</v>
      </c>
      <c r="E25" s="805"/>
      <c r="F25" s="804">
        <v>7619</v>
      </c>
      <c r="G25" s="805"/>
      <c r="H25" s="185">
        <f t="shared" si="0"/>
        <v>0.19010258902809396</v>
      </c>
      <c r="I25" s="804">
        <v>10108.12</v>
      </c>
      <c r="J25" s="805"/>
      <c r="K25" s="185">
        <f t="shared" si="1"/>
        <v>0.25220892272039075</v>
      </c>
      <c r="L25" s="492">
        <f t="shared" si="2"/>
        <v>29970.239999999998</v>
      </c>
    </row>
    <row r="26" spans="1:12" ht="12.75">
      <c r="A26" s="630" t="s">
        <v>60</v>
      </c>
      <c r="B26" s="804"/>
      <c r="C26" s="805"/>
      <c r="D26" s="804"/>
      <c r="E26" s="805"/>
      <c r="F26" s="804"/>
      <c r="G26" s="805"/>
      <c r="H26" s="185">
        <f t="shared" si="0"/>
        <v>0</v>
      </c>
      <c r="I26" s="804"/>
      <c r="J26" s="805"/>
      <c r="K26" s="185">
        <f t="shared" si="1"/>
        <v>0</v>
      </c>
      <c r="L26" s="492">
        <f t="shared" si="2"/>
        <v>0</v>
      </c>
    </row>
    <row r="27" spans="1:12" ht="12.75">
      <c r="A27" s="630" t="s">
        <v>61</v>
      </c>
      <c r="B27" s="804"/>
      <c r="C27" s="805"/>
      <c r="D27" s="804"/>
      <c r="E27" s="805"/>
      <c r="F27" s="804"/>
      <c r="G27" s="805"/>
      <c r="H27" s="185">
        <f t="shared" si="0"/>
        <v>0</v>
      </c>
      <c r="I27" s="804"/>
      <c r="J27" s="805"/>
      <c r="K27" s="185">
        <f t="shared" si="1"/>
        <v>0</v>
      </c>
      <c r="L27" s="492">
        <f t="shared" si="2"/>
        <v>0</v>
      </c>
    </row>
    <row r="28" spans="1:12" ht="25.5">
      <c r="A28" s="682" t="s">
        <v>62</v>
      </c>
      <c r="B28" s="806"/>
      <c r="C28" s="807"/>
      <c r="D28" s="806"/>
      <c r="E28" s="807"/>
      <c r="F28" s="806"/>
      <c r="G28" s="807"/>
      <c r="H28" s="464">
        <f t="shared" si="0"/>
        <v>0</v>
      </c>
      <c r="I28" s="806"/>
      <c r="J28" s="807"/>
      <c r="K28" s="464">
        <f t="shared" si="1"/>
        <v>0</v>
      </c>
      <c r="L28" s="520">
        <f t="shared" si="2"/>
        <v>0</v>
      </c>
    </row>
    <row r="29" spans="1:12" ht="12.75">
      <c r="A29" s="683" t="s">
        <v>63</v>
      </c>
      <c r="B29" s="804"/>
      <c r="C29" s="805"/>
      <c r="D29" s="804"/>
      <c r="E29" s="805"/>
      <c r="F29" s="804"/>
      <c r="G29" s="805"/>
      <c r="H29" s="185">
        <f t="shared" si="0"/>
        <v>0</v>
      </c>
      <c r="I29" s="804"/>
      <c r="J29" s="805"/>
      <c r="K29" s="185">
        <f t="shared" si="1"/>
        <v>0</v>
      </c>
      <c r="L29" s="492">
        <f t="shared" si="2"/>
        <v>0</v>
      </c>
    </row>
    <row r="30" spans="1:12" ht="12.75">
      <c r="A30" s="630" t="s">
        <v>64</v>
      </c>
      <c r="B30" s="804">
        <v>7604.37</v>
      </c>
      <c r="C30" s="805"/>
      <c r="D30" s="804">
        <v>7604.37</v>
      </c>
      <c r="E30" s="805"/>
      <c r="F30" s="804"/>
      <c r="G30" s="805"/>
      <c r="H30" s="185">
        <f t="shared" si="0"/>
        <v>0</v>
      </c>
      <c r="I30" s="804"/>
      <c r="J30" s="805"/>
      <c r="K30" s="185">
        <f t="shared" si="1"/>
        <v>0</v>
      </c>
      <c r="L30" s="492">
        <f t="shared" si="2"/>
        <v>7604.37</v>
      </c>
    </row>
    <row r="31" spans="1:12" ht="12.75">
      <c r="A31" s="628" t="s">
        <v>65</v>
      </c>
      <c r="B31" s="802">
        <f>SUM(B32:C34)</f>
        <v>5627.24</v>
      </c>
      <c r="C31" s="803"/>
      <c r="D31" s="802">
        <f>SUM(D32:E34)</f>
        <v>5627.24</v>
      </c>
      <c r="E31" s="803"/>
      <c r="F31" s="802">
        <f>SUM(F32:G34)</f>
        <v>0</v>
      </c>
      <c r="G31" s="803"/>
      <c r="H31" s="681">
        <f t="shared" si="0"/>
        <v>0</v>
      </c>
      <c r="I31" s="802">
        <f>SUM(I32:J34)</f>
        <v>0</v>
      </c>
      <c r="J31" s="803"/>
      <c r="K31" s="681">
        <f t="shared" si="1"/>
        <v>0</v>
      </c>
      <c r="L31" s="645">
        <f t="shared" si="2"/>
        <v>5627.24</v>
      </c>
    </row>
    <row r="32" spans="1:12" ht="12.75">
      <c r="A32" s="630" t="s">
        <v>66</v>
      </c>
      <c r="B32" s="804"/>
      <c r="C32" s="805"/>
      <c r="D32" s="804"/>
      <c r="E32" s="805"/>
      <c r="F32" s="804"/>
      <c r="G32" s="805"/>
      <c r="H32" s="185">
        <f t="shared" si="0"/>
        <v>0</v>
      </c>
      <c r="I32" s="804"/>
      <c r="J32" s="805"/>
      <c r="K32" s="185">
        <f t="shared" si="1"/>
        <v>0</v>
      </c>
      <c r="L32" s="492">
        <f t="shared" si="2"/>
        <v>0</v>
      </c>
    </row>
    <row r="33" spans="1:12" ht="12.75">
      <c r="A33" s="630" t="s">
        <v>67</v>
      </c>
      <c r="B33" s="804"/>
      <c r="C33" s="805"/>
      <c r="D33" s="804"/>
      <c r="E33" s="805"/>
      <c r="F33" s="804"/>
      <c r="G33" s="805"/>
      <c r="H33" s="185">
        <f t="shared" si="0"/>
        <v>0</v>
      </c>
      <c r="I33" s="804"/>
      <c r="J33" s="805"/>
      <c r="K33" s="185">
        <f t="shared" si="1"/>
        <v>0</v>
      </c>
      <c r="L33" s="492">
        <f t="shared" si="2"/>
        <v>0</v>
      </c>
    </row>
    <row r="34" spans="1:12" ht="12.75">
      <c r="A34" s="630" t="s">
        <v>68</v>
      </c>
      <c r="B34" s="804">
        <v>5627.24</v>
      </c>
      <c r="C34" s="805"/>
      <c r="D34" s="804">
        <v>5627.24</v>
      </c>
      <c r="E34" s="805"/>
      <c r="F34" s="804"/>
      <c r="G34" s="805"/>
      <c r="H34" s="185">
        <f t="shared" si="0"/>
        <v>0</v>
      </c>
      <c r="I34" s="804"/>
      <c r="J34" s="805"/>
      <c r="K34" s="185">
        <f t="shared" si="1"/>
        <v>0</v>
      </c>
      <c r="L34" s="492">
        <f t="shared" si="2"/>
        <v>5627.24</v>
      </c>
    </row>
    <row r="35" spans="1:12" ht="12.75">
      <c r="A35" s="628" t="s">
        <v>69</v>
      </c>
      <c r="B35" s="802">
        <f>SUM(B36:C39)</f>
        <v>9885.69</v>
      </c>
      <c r="C35" s="803"/>
      <c r="D35" s="802">
        <f>SUM(D36:E39)</f>
        <v>9885.69</v>
      </c>
      <c r="E35" s="803"/>
      <c r="F35" s="802">
        <f>SUM(F36:G39)</f>
        <v>0</v>
      </c>
      <c r="G35" s="803"/>
      <c r="H35" s="681">
        <f t="shared" si="0"/>
        <v>0</v>
      </c>
      <c r="I35" s="802">
        <f>SUM(I36:J39)</f>
        <v>0</v>
      </c>
      <c r="J35" s="803"/>
      <c r="K35" s="681">
        <f t="shared" si="1"/>
        <v>0</v>
      </c>
      <c r="L35" s="645">
        <f t="shared" si="2"/>
        <v>9885.69</v>
      </c>
    </row>
    <row r="36" spans="1:12" ht="12.75">
      <c r="A36" s="630" t="s">
        <v>70</v>
      </c>
      <c r="B36" s="804"/>
      <c r="C36" s="805"/>
      <c r="D36" s="804"/>
      <c r="E36" s="805"/>
      <c r="F36" s="804"/>
      <c r="G36" s="805"/>
      <c r="H36" s="185">
        <f t="shared" si="0"/>
        <v>0</v>
      </c>
      <c r="I36" s="804"/>
      <c r="J36" s="805"/>
      <c r="K36" s="185">
        <f t="shared" si="1"/>
        <v>0</v>
      </c>
      <c r="L36" s="492">
        <f t="shared" si="2"/>
        <v>0</v>
      </c>
    </row>
    <row r="37" spans="1:12" ht="12.75">
      <c r="A37" s="630" t="s">
        <v>71</v>
      </c>
      <c r="B37" s="804"/>
      <c r="C37" s="805"/>
      <c r="D37" s="804"/>
      <c r="E37" s="805"/>
      <c r="F37" s="804"/>
      <c r="G37" s="805"/>
      <c r="H37" s="185">
        <f t="shared" si="0"/>
        <v>0</v>
      </c>
      <c r="I37" s="804"/>
      <c r="J37" s="805"/>
      <c r="K37" s="185">
        <f t="shared" si="1"/>
        <v>0</v>
      </c>
      <c r="L37" s="492">
        <f t="shared" si="2"/>
        <v>0</v>
      </c>
    </row>
    <row r="38" spans="1:12" ht="12.75">
      <c r="A38" s="630" t="s">
        <v>72</v>
      </c>
      <c r="B38" s="804">
        <v>9885.69</v>
      </c>
      <c r="C38" s="805"/>
      <c r="D38" s="804">
        <v>9885.69</v>
      </c>
      <c r="E38" s="805"/>
      <c r="F38" s="804"/>
      <c r="G38" s="805"/>
      <c r="H38" s="185">
        <f t="shared" si="0"/>
        <v>0</v>
      </c>
      <c r="I38" s="804"/>
      <c r="J38" s="805"/>
      <c r="K38" s="185">
        <f t="shared" si="1"/>
        <v>0</v>
      </c>
      <c r="L38" s="492">
        <f t="shared" si="2"/>
        <v>9885.69</v>
      </c>
    </row>
    <row r="39" spans="1:12" ht="12.75">
      <c r="A39" s="684" t="s">
        <v>73</v>
      </c>
      <c r="B39" s="804"/>
      <c r="C39" s="805"/>
      <c r="D39" s="804"/>
      <c r="E39" s="805"/>
      <c r="F39" s="804"/>
      <c r="G39" s="805"/>
      <c r="H39" s="185">
        <f t="shared" si="0"/>
        <v>0</v>
      </c>
      <c r="I39" s="804"/>
      <c r="J39" s="805"/>
      <c r="K39" s="185">
        <f t="shared" si="1"/>
        <v>0</v>
      </c>
      <c r="L39" s="492">
        <f t="shared" si="2"/>
        <v>0</v>
      </c>
    </row>
    <row r="40" spans="1:12" ht="12.75">
      <c r="A40" s="628" t="s">
        <v>74</v>
      </c>
      <c r="B40" s="804">
        <v>4258.45</v>
      </c>
      <c r="C40" s="805"/>
      <c r="D40" s="804">
        <v>4258.45</v>
      </c>
      <c r="E40" s="805"/>
      <c r="F40" s="804"/>
      <c r="G40" s="805"/>
      <c r="H40" s="681">
        <f t="shared" si="0"/>
        <v>0</v>
      </c>
      <c r="I40" s="804"/>
      <c r="J40" s="805"/>
      <c r="K40" s="681">
        <f t="shared" si="1"/>
        <v>0</v>
      </c>
      <c r="L40" s="645">
        <f t="shared" si="2"/>
        <v>4258.45</v>
      </c>
    </row>
    <row r="41" spans="1:12" ht="12.75">
      <c r="A41" s="628" t="s">
        <v>75</v>
      </c>
      <c r="B41" s="802">
        <f>SUM(B42:C47)</f>
        <v>40681693.64</v>
      </c>
      <c r="C41" s="803"/>
      <c r="D41" s="802">
        <f>SUM(D42:E47)</f>
        <v>40681693.64</v>
      </c>
      <c r="E41" s="803"/>
      <c r="F41" s="802">
        <f>SUM(F42:G47)</f>
        <v>3068917.22</v>
      </c>
      <c r="G41" s="803"/>
      <c r="H41" s="681">
        <f t="shared" si="0"/>
        <v>0.07543730227058462</v>
      </c>
      <c r="I41" s="802">
        <f>SUM(I42:J47)</f>
        <v>4526548.34</v>
      </c>
      <c r="J41" s="803"/>
      <c r="K41" s="681">
        <f t="shared" si="1"/>
        <v>0.11126745066359041</v>
      </c>
      <c r="L41" s="645">
        <f t="shared" si="2"/>
        <v>36155145.3</v>
      </c>
    </row>
    <row r="42" spans="1:12" ht="12.75">
      <c r="A42" s="630" t="s">
        <v>76</v>
      </c>
      <c r="B42" s="804">
        <v>39945061.14</v>
      </c>
      <c r="C42" s="805"/>
      <c r="D42" s="804">
        <v>39945061.14</v>
      </c>
      <c r="E42" s="805"/>
      <c r="F42" s="804">
        <v>3068917.22</v>
      </c>
      <c r="G42" s="805"/>
      <c r="H42" s="185">
        <f t="shared" si="0"/>
        <v>0.07682845218947136</v>
      </c>
      <c r="I42" s="804">
        <v>4526548.34</v>
      </c>
      <c r="J42" s="805"/>
      <c r="K42" s="185">
        <f t="shared" si="1"/>
        <v>0.11331934939679504</v>
      </c>
      <c r="L42" s="492">
        <f t="shared" si="2"/>
        <v>35418512.8</v>
      </c>
    </row>
    <row r="43" spans="1:12" ht="12.75">
      <c r="A43" s="630" t="s">
        <v>77</v>
      </c>
      <c r="B43" s="804"/>
      <c r="C43" s="805"/>
      <c r="D43" s="804"/>
      <c r="E43" s="805"/>
      <c r="F43" s="804"/>
      <c r="G43" s="805"/>
      <c r="H43" s="185">
        <f t="shared" si="0"/>
        <v>0</v>
      </c>
      <c r="I43" s="804"/>
      <c r="J43" s="805"/>
      <c r="K43" s="185">
        <f t="shared" si="1"/>
        <v>0</v>
      </c>
      <c r="L43" s="492">
        <f t="shared" si="2"/>
        <v>0</v>
      </c>
    </row>
    <row r="44" spans="1:12" ht="12.75">
      <c r="A44" s="630" t="s">
        <v>78</v>
      </c>
      <c r="B44" s="804"/>
      <c r="C44" s="805"/>
      <c r="D44" s="804"/>
      <c r="E44" s="805"/>
      <c r="F44" s="804"/>
      <c r="G44" s="805"/>
      <c r="H44" s="185">
        <f t="shared" si="0"/>
        <v>0</v>
      </c>
      <c r="I44" s="804"/>
      <c r="J44" s="805"/>
      <c r="K44" s="185">
        <f t="shared" si="1"/>
        <v>0</v>
      </c>
      <c r="L44" s="492">
        <f t="shared" si="2"/>
        <v>0</v>
      </c>
    </row>
    <row r="45" spans="1:12" ht="12.75">
      <c r="A45" s="630" t="s">
        <v>79</v>
      </c>
      <c r="B45" s="804"/>
      <c r="C45" s="805"/>
      <c r="D45" s="804"/>
      <c r="E45" s="805"/>
      <c r="F45" s="804"/>
      <c r="G45" s="805"/>
      <c r="H45" s="185">
        <f t="shared" si="0"/>
        <v>0</v>
      </c>
      <c r="I45" s="804"/>
      <c r="J45" s="805"/>
      <c r="K45" s="185">
        <f t="shared" si="1"/>
        <v>0</v>
      </c>
      <c r="L45" s="492">
        <f t="shared" si="2"/>
        <v>0</v>
      </c>
    </row>
    <row r="46" spans="1:12" ht="12.75">
      <c r="A46" s="630" t="s">
        <v>80</v>
      </c>
      <c r="B46" s="804">
        <v>736632.5</v>
      </c>
      <c r="C46" s="805"/>
      <c r="D46" s="804">
        <v>736632.5</v>
      </c>
      <c r="E46" s="805"/>
      <c r="F46" s="804"/>
      <c r="G46" s="805"/>
      <c r="H46" s="185">
        <f t="shared" si="0"/>
        <v>0</v>
      </c>
      <c r="I46" s="804"/>
      <c r="J46" s="805"/>
      <c r="K46" s="185">
        <f t="shared" si="1"/>
        <v>0</v>
      </c>
      <c r="L46" s="492">
        <f t="shared" si="2"/>
        <v>736632.5</v>
      </c>
    </row>
    <row r="47" spans="1:12" ht="12.75">
      <c r="A47" s="685" t="s">
        <v>81</v>
      </c>
      <c r="B47" s="804"/>
      <c r="C47" s="805"/>
      <c r="D47" s="804"/>
      <c r="E47" s="805"/>
      <c r="F47" s="804"/>
      <c r="G47" s="805"/>
      <c r="H47" s="185">
        <f t="shared" si="0"/>
        <v>0</v>
      </c>
      <c r="I47" s="804"/>
      <c r="J47" s="805"/>
      <c r="K47" s="185">
        <f t="shared" si="1"/>
        <v>0</v>
      </c>
      <c r="L47" s="492">
        <f t="shared" si="2"/>
        <v>0</v>
      </c>
    </row>
    <row r="48" spans="1:12" ht="12.75">
      <c r="A48" s="628" t="s">
        <v>82</v>
      </c>
      <c r="B48" s="802">
        <f>SUM(B49:C53)</f>
        <v>28592.449999999997</v>
      </c>
      <c r="C48" s="803"/>
      <c r="D48" s="802">
        <f>SUM(D49:E53)</f>
        <v>28592.449999999997</v>
      </c>
      <c r="E48" s="803"/>
      <c r="F48" s="802">
        <f>SUM(F49:G53)</f>
        <v>0</v>
      </c>
      <c r="G48" s="803"/>
      <c r="H48" s="681">
        <f t="shared" si="0"/>
        <v>0</v>
      </c>
      <c r="I48" s="802">
        <f>SUM(I49:J53)</f>
        <v>0</v>
      </c>
      <c r="J48" s="803"/>
      <c r="K48" s="681">
        <f t="shared" si="1"/>
        <v>0</v>
      </c>
      <c r="L48" s="645">
        <f t="shared" si="2"/>
        <v>28592.449999999997</v>
      </c>
    </row>
    <row r="49" spans="1:12" ht="12.75">
      <c r="A49" s="630" t="s">
        <v>83</v>
      </c>
      <c r="B49" s="804"/>
      <c r="C49" s="805"/>
      <c r="D49" s="804"/>
      <c r="E49" s="805"/>
      <c r="F49" s="804"/>
      <c r="G49" s="805"/>
      <c r="H49" s="185">
        <f t="shared" si="0"/>
        <v>0</v>
      </c>
      <c r="I49" s="804"/>
      <c r="J49" s="805"/>
      <c r="K49" s="185">
        <f t="shared" si="1"/>
        <v>0</v>
      </c>
      <c r="L49" s="492">
        <f t="shared" si="2"/>
        <v>0</v>
      </c>
    </row>
    <row r="50" spans="1:12" ht="12.75">
      <c r="A50" s="630" t="s">
        <v>84</v>
      </c>
      <c r="B50" s="804">
        <v>19010.94</v>
      </c>
      <c r="C50" s="805"/>
      <c r="D50" s="804">
        <v>19010.94</v>
      </c>
      <c r="E50" s="805"/>
      <c r="F50" s="804"/>
      <c r="G50" s="805"/>
      <c r="H50" s="185">
        <f t="shared" si="0"/>
        <v>0</v>
      </c>
      <c r="I50" s="804"/>
      <c r="J50" s="805"/>
      <c r="K50" s="185">
        <f t="shared" si="1"/>
        <v>0</v>
      </c>
      <c r="L50" s="492">
        <f t="shared" si="2"/>
        <v>19010.94</v>
      </c>
    </row>
    <row r="51" spans="1:12" ht="12.75">
      <c r="A51" s="630" t="s">
        <v>85</v>
      </c>
      <c r="B51" s="804">
        <v>9581.51</v>
      </c>
      <c r="C51" s="805"/>
      <c r="D51" s="804">
        <v>9581.51</v>
      </c>
      <c r="E51" s="805"/>
      <c r="F51" s="804"/>
      <c r="G51" s="805"/>
      <c r="H51" s="185">
        <f t="shared" si="0"/>
        <v>0</v>
      </c>
      <c r="I51" s="804"/>
      <c r="J51" s="805"/>
      <c r="K51" s="185">
        <f t="shared" si="1"/>
        <v>0</v>
      </c>
      <c r="L51" s="492">
        <f t="shared" si="2"/>
        <v>9581.51</v>
      </c>
    </row>
    <row r="52" spans="1:12" ht="25.5">
      <c r="A52" s="682" t="s">
        <v>86</v>
      </c>
      <c r="B52" s="806"/>
      <c r="C52" s="807"/>
      <c r="D52" s="806"/>
      <c r="E52" s="807"/>
      <c r="F52" s="806"/>
      <c r="G52" s="807"/>
      <c r="H52" s="464">
        <f t="shared" si="0"/>
        <v>0</v>
      </c>
      <c r="I52" s="806"/>
      <c r="J52" s="807"/>
      <c r="K52" s="464">
        <f t="shared" si="1"/>
        <v>0</v>
      </c>
      <c r="L52" s="520">
        <f t="shared" si="2"/>
        <v>0</v>
      </c>
    </row>
    <row r="53" spans="1:12" ht="12.75">
      <c r="A53" s="685" t="s">
        <v>87</v>
      </c>
      <c r="B53" s="804"/>
      <c r="C53" s="805"/>
      <c r="D53" s="804"/>
      <c r="E53" s="805"/>
      <c r="F53" s="804"/>
      <c r="G53" s="805"/>
      <c r="H53" s="185">
        <f t="shared" si="0"/>
        <v>0</v>
      </c>
      <c r="I53" s="804"/>
      <c r="J53" s="805"/>
      <c r="K53" s="185">
        <f t="shared" si="1"/>
        <v>0</v>
      </c>
      <c r="L53" s="492">
        <f t="shared" si="2"/>
        <v>0</v>
      </c>
    </row>
    <row r="54" spans="1:12" ht="12.75">
      <c r="A54" s="679" t="s">
        <v>88</v>
      </c>
      <c r="B54" s="800">
        <f>+B55+B58+B61+B62+B70</f>
        <v>-4500341.870000001</v>
      </c>
      <c r="C54" s="801"/>
      <c r="D54" s="800">
        <f>+D55+D58+D61+D62+D70</f>
        <v>-4500341.870000001</v>
      </c>
      <c r="E54" s="801"/>
      <c r="F54" s="800">
        <f>+F55+F58+F61+F62+F70</f>
        <v>0</v>
      </c>
      <c r="G54" s="801"/>
      <c r="H54" s="680">
        <f t="shared" si="0"/>
        <v>0</v>
      </c>
      <c r="I54" s="800">
        <f>+I55+I58+I61+I62+I70</f>
        <v>0</v>
      </c>
      <c r="J54" s="801"/>
      <c r="K54" s="680">
        <f t="shared" si="1"/>
        <v>0</v>
      </c>
      <c r="L54" s="690">
        <f t="shared" si="2"/>
        <v>-4500341.870000001</v>
      </c>
    </row>
    <row r="55" spans="1:12" ht="12.75">
      <c r="A55" s="628" t="s">
        <v>89</v>
      </c>
      <c r="B55" s="802">
        <f>SUM(B56:C57)</f>
        <v>0</v>
      </c>
      <c r="C55" s="803"/>
      <c r="D55" s="802">
        <f>SUM(D56:E57)</f>
        <v>0</v>
      </c>
      <c r="E55" s="803"/>
      <c r="F55" s="802">
        <f>SUM(F56:G57)</f>
        <v>0</v>
      </c>
      <c r="G55" s="803"/>
      <c r="H55" s="681">
        <f t="shared" si="0"/>
        <v>0</v>
      </c>
      <c r="I55" s="802">
        <f>SUM(I56:J57)</f>
        <v>0</v>
      </c>
      <c r="J55" s="803"/>
      <c r="K55" s="681">
        <f t="shared" si="1"/>
        <v>0</v>
      </c>
      <c r="L55" s="645">
        <f t="shared" si="2"/>
        <v>0</v>
      </c>
    </row>
    <row r="56" spans="1:12" ht="12.75">
      <c r="A56" s="630" t="s">
        <v>90</v>
      </c>
      <c r="B56" s="804"/>
      <c r="C56" s="805"/>
      <c r="D56" s="804"/>
      <c r="E56" s="805"/>
      <c r="F56" s="804"/>
      <c r="G56" s="805"/>
      <c r="H56" s="185">
        <f t="shared" si="0"/>
        <v>0</v>
      </c>
      <c r="I56" s="804"/>
      <c r="J56" s="805"/>
      <c r="K56" s="185">
        <f t="shared" si="1"/>
        <v>0</v>
      </c>
      <c r="L56" s="492">
        <f t="shared" si="2"/>
        <v>0</v>
      </c>
    </row>
    <row r="57" spans="1:12" ht="12.75">
      <c r="A57" s="630" t="s">
        <v>91</v>
      </c>
      <c r="B57" s="804"/>
      <c r="C57" s="805"/>
      <c r="D57" s="804"/>
      <c r="E57" s="805"/>
      <c r="F57" s="804"/>
      <c r="G57" s="805"/>
      <c r="H57" s="185">
        <f t="shared" si="0"/>
        <v>0</v>
      </c>
      <c r="I57" s="804"/>
      <c r="J57" s="805"/>
      <c r="K57" s="185">
        <f t="shared" si="1"/>
        <v>0</v>
      </c>
      <c r="L57" s="492">
        <f t="shared" si="2"/>
        <v>0</v>
      </c>
    </row>
    <row r="58" spans="1:12" ht="12.75">
      <c r="A58" s="628" t="s">
        <v>92</v>
      </c>
      <c r="B58" s="802">
        <f>SUM(B59:C60)</f>
        <v>0</v>
      </c>
      <c r="C58" s="803"/>
      <c r="D58" s="802">
        <f>SUM(D59:E60)</f>
        <v>0</v>
      </c>
      <c r="E58" s="803"/>
      <c r="F58" s="802">
        <f>SUM(F59:G60)</f>
        <v>0</v>
      </c>
      <c r="G58" s="803"/>
      <c r="H58" s="681">
        <f t="shared" si="0"/>
        <v>0</v>
      </c>
      <c r="I58" s="802">
        <f>SUM(I59:J60)</f>
        <v>0</v>
      </c>
      <c r="J58" s="803"/>
      <c r="K58" s="681">
        <f t="shared" si="1"/>
        <v>0</v>
      </c>
      <c r="L58" s="645">
        <f t="shared" si="2"/>
        <v>0</v>
      </c>
    </row>
    <row r="59" spans="1:12" ht="12.75">
      <c r="A59" s="630" t="s">
        <v>93</v>
      </c>
      <c r="B59" s="804"/>
      <c r="C59" s="805"/>
      <c r="D59" s="804"/>
      <c r="E59" s="805"/>
      <c r="F59" s="804"/>
      <c r="G59" s="805"/>
      <c r="H59" s="185">
        <f t="shared" si="0"/>
        <v>0</v>
      </c>
      <c r="I59" s="804"/>
      <c r="J59" s="805"/>
      <c r="K59" s="185">
        <f t="shared" si="1"/>
        <v>0</v>
      </c>
      <c r="L59" s="492">
        <f t="shared" si="2"/>
        <v>0</v>
      </c>
    </row>
    <row r="60" spans="1:12" ht="12.75">
      <c r="A60" s="630" t="s">
        <v>94</v>
      </c>
      <c r="B60" s="804"/>
      <c r="C60" s="805"/>
      <c r="D60" s="804"/>
      <c r="E60" s="805"/>
      <c r="F60" s="804"/>
      <c r="G60" s="805"/>
      <c r="H60" s="185">
        <f t="shared" si="0"/>
        <v>0</v>
      </c>
      <c r="I60" s="804"/>
      <c r="J60" s="805"/>
      <c r="K60" s="185">
        <f t="shared" si="1"/>
        <v>0</v>
      </c>
      <c r="L60" s="492">
        <f t="shared" si="2"/>
        <v>0</v>
      </c>
    </row>
    <row r="61" spans="1:12" ht="12.75">
      <c r="A61" s="628" t="s">
        <v>95</v>
      </c>
      <c r="B61" s="804"/>
      <c r="C61" s="805"/>
      <c r="D61" s="804"/>
      <c r="E61" s="805"/>
      <c r="F61" s="804"/>
      <c r="G61" s="805"/>
      <c r="H61" s="681">
        <f t="shared" si="0"/>
        <v>0</v>
      </c>
      <c r="I61" s="804"/>
      <c r="J61" s="805"/>
      <c r="K61" s="681">
        <f t="shared" si="1"/>
        <v>0</v>
      </c>
      <c r="L61" s="645">
        <f t="shared" si="2"/>
        <v>0</v>
      </c>
    </row>
    <row r="62" spans="1:12" ht="12.75">
      <c r="A62" s="628" t="s">
        <v>96</v>
      </c>
      <c r="B62" s="802">
        <f>SUM(B63:C69)</f>
        <v>1870901.0699999998</v>
      </c>
      <c r="C62" s="803"/>
      <c r="D62" s="802">
        <f>SUM(D63:E69)</f>
        <v>1870901.0699999998</v>
      </c>
      <c r="E62" s="803"/>
      <c r="F62" s="802">
        <f>SUM(F63:G69)</f>
        <v>0</v>
      </c>
      <c r="G62" s="803"/>
      <c r="H62" s="681">
        <f t="shared" si="0"/>
        <v>0</v>
      </c>
      <c r="I62" s="802">
        <f>SUM(I63:J69)</f>
        <v>0</v>
      </c>
      <c r="J62" s="803"/>
      <c r="K62" s="681">
        <f t="shared" si="1"/>
        <v>0</v>
      </c>
      <c r="L62" s="645">
        <f t="shared" si="2"/>
        <v>1870901.0699999998</v>
      </c>
    </row>
    <row r="63" spans="1:12" ht="12.75">
      <c r="A63" s="630" t="s">
        <v>76</v>
      </c>
      <c r="B63" s="804">
        <v>476033.87</v>
      </c>
      <c r="C63" s="805"/>
      <c r="D63" s="804">
        <v>476033.87</v>
      </c>
      <c r="E63" s="805"/>
      <c r="F63" s="804"/>
      <c r="G63" s="805"/>
      <c r="H63" s="185">
        <f t="shared" si="0"/>
        <v>0</v>
      </c>
      <c r="I63" s="804"/>
      <c r="J63" s="805"/>
      <c r="K63" s="185">
        <f t="shared" si="1"/>
        <v>0</v>
      </c>
      <c r="L63" s="492">
        <f t="shared" si="2"/>
        <v>476033.87</v>
      </c>
    </row>
    <row r="64" spans="1:12" ht="12.75">
      <c r="A64" s="630" t="s">
        <v>77</v>
      </c>
      <c r="B64" s="804"/>
      <c r="C64" s="805"/>
      <c r="D64" s="804"/>
      <c r="E64" s="805"/>
      <c r="F64" s="804"/>
      <c r="G64" s="805"/>
      <c r="H64" s="185">
        <f t="shared" si="0"/>
        <v>0</v>
      </c>
      <c r="I64" s="804"/>
      <c r="J64" s="805"/>
      <c r="K64" s="185">
        <f t="shared" si="1"/>
        <v>0</v>
      </c>
      <c r="L64" s="492">
        <f t="shared" si="2"/>
        <v>0</v>
      </c>
    </row>
    <row r="65" spans="1:12" ht="12.75">
      <c r="A65" s="630" t="s">
        <v>78</v>
      </c>
      <c r="B65" s="804"/>
      <c r="C65" s="805"/>
      <c r="D65" s="804"/>
      <c r="E65" s="805"/>
      <c r="F65" s="804"/>
      <c r="G65" s="805"/>
      <c r="H65" s="185">
        <f t="shared" si="0"/>
        <v>0</v>
      </c>
      <c r="I65" s="804"/>
      <c r="J65" s="805"/>
      <c r="K65" s="185">
        <f t="shared" si="1"/>
        <v>0</v>
      </c>
      <c r="L65" s="492">
        <f t="shared" si="2"/>
        <v>0</v>
      </c>
    </row>
    <row r="66" spans="1:12" ht="12.75">
      <c r="A66" s="630" t="s">
        <v>79</v>
      </c>
      <c r="B66" s="804"/>
      <c r="C66" s="805"/>
      <c r="D66" s="804"/>
      <c r="E66" s="805"/>
      <c r="F66" s="804"/>
      <c r="G66" s="805"/>
      <c r="H66" s="185">
        <f t="shared" si="0"/>
        <v>0</v>
      </c>
      <c r="I66" s="804"/>
      <c r="J66" s="805"/>
      <c r="K66" s="185">
        <f t="shared" si="1"/>
        <v>0</v>
      </c>
      <c r="L66" s="492">
        <f t="shared" si="2"/>
        <v>0</v>
      </c>
    </row>
    <row r="67" spans="1:12" ht="12.75">
      <c r="A67" s="691" t="s">
        <v>97</v>
      </c>
      <c r="B67" s="804"/>
      <c r="C67" s="805"/>
      <c r="D67" s="804"/>
      <c r="E67" s="805"/>
      <c r="F67" s="804"/>
      <c r="G67" s="805"/>
      <c r="H67" s="185">
        <f t="shared" si="0"/>
        <v>0</v>
      </c>
      <c r="I67" s="804"/>
      <c r="J67" s="805"/>
      <c r="K67" s="185">
        <f t="shared" si="1"/>
        <v>0</v>
      </c>
      <c r="L67" s="492">
        <f t="shared" si="2"/>
        <v>0</v>
      </c>
    </row>
    <row r="68" spans="1:12" ht="12.75">
      <c r="A68" s="691" t="s">
        <v>80</v>
      </c>
      <c r="B68" s="804">
        <v>1394867.2</v>
      </c>
      <c r="C68" s="805"/>
      <c r="D68" s="804">
        <v>1394867.2</v>
      </c>
      <c r="E68" s="805"/>
      <c r="F68" s="804"/>
      <c r="G68" s="805"/>
      <c r="H68" s="185">
        <f t="shared" si="0"/>
        <v>0</v>
      </c>
      <c r="I68" s="804"/>
      <c r="J68" s="805"/>
      <c r="K68" s="185">
        <f t="shared" si="1"/>
        <v>0</v>
      </c>
      <c r="L68" s="492">
        <f t="shared" si="2"/>
        <v>1394867.2</v>
      </c>
    </row>
    <row r="69" spans="1:12" ht="12.75">
      <c r="A69" s="691" t="s">
        <v>81</v>
      </c>
      <c r="B69" s="804"/>
      <c r="C69" s="805"/>
      <c r="D69" s="804"/>
      <c r="E69" s="805"/>
      <c r="F69" s="804"/>
      <c r="G69" s="805"/>
      <c r="H69" s="185">
        <f t="shared" si="0"/>
        <v>0</v>
      </c>
      <c r="I69" s="804"/>
      <c r="J69" s="805"/>
      <c r="K69" s="185">
        <f t="shared" si="1"/>
        <v>0</v>
      </c>
      <c r="L69" s="492">
        <f t="shared" si="2"/>
        <v>0</v>
      </c>
    </row>
    <row r="70" spans="1:12" ht="12.75">
      <c r="A70" s="628" t="s">
        <v>98</v>
      </c>
      <c r="B70" s="802">
        <f>SUM(B71:C75)</f>
        <v>-6371242.94</v>
      </c>
      <c r="C70" s="803"/>
      <c r="D70" s="802">
        <f>SUM(D71:E75)</f>
        <v>-6371242.94</v>
      </c>
      <c r="E70" s="803"/>
      <c r="F70" s="802">
        <f>SUM(F71:G75)</f>
        <v>0</v>
      </c>
      <c r="G70" s="803"/>
      <c r="H70" s="681">
        <f t="shared" si="0"/>
        <v>0</v>
      </c>
      <c r="I70" s="802">
        <f>SUM(I71:J75)</f>
        <v>0</v>
      </c>
      <c r="J70" s="803"/>
      <c r="K70" s="681">
        <f t="shared" si="1"/>
        <v>0</v>
      </c>
      <c r="L70" s="645">
        <f t="shared" si="2"/>
        <v>-6371242.94</v>
      </c>
    </row>
    <row r="71" spans="1:12" ht="12.75">
      <c r="A71" s="630" t="s">
        <v>99</v>
      </c>
      <c r="B71" s="804"/>
      <c r="C71" s="805"/>
      <c r="D71" s="804"/>
      <c r="E71" s="805"/>
      <c r="F71" s="804"/>
      <c r="G71" s="805"/>
      <c r="H71" s="185">
        <f t="shared" si="0"/>
        <v>0</v>
      </c>
      <c r="I71" s="804"/>
      <c r="J71" s="805"/>
      <c r="K71" s="185">
        <f t="shared" si="1"/>
        <v>0</v>
      </c>
      <c r="L71" s="492">
        <f t="shared" si="2"/>
        <v>0</v>
      </c>
    </row>
    <row r="72" spans="1:12" ht="12.75">
      <c r="A72" s="692" t="s">
        <v>100</v>
      </c>
      <c r="B72" s="804"/>
      <c r="C72" s="805"/>
      <c r="D72" s="804"/>
      <c r="E72" s="805"/>
      <c r="F72" s="804"/>
      <c r="G72" s="805"/>
      <c r="H72" s="185">
        <f t="shared" si="0"/>
        <v>0</v>
      </c>
      <c r="I72" s="804"/>
      <c r="J72" s="805"/>
      <c r="K72" s="185">
        <f t="shared" si="1"/>
        <v>0</v>
      </c>
      <c r="L72" s="492">
        <f t="shared" si="2"/>
        <v>0</v>
      </c>
    </row>
    <row r="73" spans="1:12" ht="25.5">
      <c r="A73" s="691" t="s">
        <v>101</v>
      </c>
      <c r="B73" s="402"/>
      <c r="C73" s="403"/>
      <c r="D73" s="402"/>
      <c r="E73" s="403"/>
      <c r="F73" s="402"/>
      <c r="G73" s="403"/>
      <c r="H73" s="185">
        <f t="shared" si="0"/>
        <v>0</v>
      </c>
      <c r="I73" s="402"/>
      <c r="J73" s="403"/>
      <c r="K73" s="185">
        <f t="shared" si="1"/>
        <v>0</v>
      </c>
      <c r="L73" s="492">
        <f t="shared" si="2"/>
        <v>0</v>
      </c>
    </row>
    <row r="74" spans="1:12" ht="25.5">
      <c r="A74" s="691" t="s">
        <v>102</v>
      </c>
      <c r="B74" s="402"/>
      <c r="C74" s="403"/>
      <c r="D74" s="402"/>
      <c r="E74" s="403"/>
      <c r="F74" s="402"/>
      <c r="G74" s="403"/>
      <c r="H74" s="185">
        <f t="shared" si="0"/>
        <v>0</v>
      </c>
      <c r="I74" s="402"/>
      <c r="J74" s="403"/>
      <c r="K74" s="185">
        <f t="shared" si="1"/>
        <v>0</v>
      </c>
      <c r="L74" s="492">
        <f t="shared" si="2"/>
        <v>0</v>
      </c>
    </row>
    <row r="75" spans="1:13" ht="12.75">
      <c r="A75" s="691" t="s">
        <v>103</v>
      </c>
      <c r="B75" s="804">
        <v>-6371242.94</v>
      </c>
      <c r="C75" s="805"/>
      <c r="D75" s="804">
        <v>-6371242.94</v>
      </c>
      <c r="E75" s="805"/>
      <c r="F75" s="804"/>
      <c r="G75" s="805"/>
      <c r="H75" s="185">
        <f aca="true" t="shared" si="3" ref="H75:H80">IF(D75="",0,IF(D75=0,0,+F75/D75))</f>
        <v>0</v>
      </c>
      <c r="I75" s="804"/>
      <c r="J75" s="805"/>
      <c r="K75" s="185">
        <f t="shared" si="1"/>
        <v>0</v>
      </c>
      <c r="L75" s="492">
        <f>+D75-I75</f>
        <v>-6371242.94</v>
      </c>
      <c r="M75" s="480" t="s">
        <v>104</v>
      </c>
    </row>
    <row r="76" spans="1:12" ht="12.75">
      <c r="A76" s="693" t="s">
        <v>105</v>
      </c>
      <c r="B76" s="808">
        <f>+B126</f>
        <v>36977490.150000006</v>
      </c>
      <c r="C76" s="809"/>
      <c r="D76" s="808">
        <f>+D126</f>
        <v>36977490.150000006</v>
      </c>
      <c r="E76" s="809"/>
      <c r="F76" s="808">
        <f>+F126</f>
        <v>3104858.18</v>
      </c>
      <c r="G76" s="809"/>
      <c r="H76" s="694">
        <f t="shared" si="3"/>
        <v>0.0839661688071601</v>
      </c>
      <c r="I76" s="808">
        <f>+I126</f>
        <v>4689443.38</v>
      </c>
      <c r="J76" s="809"/>
      <c r="K76" s="694">
        <f t="shared" si="1"/>
        <v>0.12681886631507897</v>
      </c>
      <c r="L76" s="739">
        <f>+D76-I76</f>
        <v>32288046.770000007</v>
      </c>
    </row>
    <row r="77" spans="1:12" ht="12.75">
      <c r="A77" s="695" t="s">
        <v>106</v>
      </c>
      <c r="B77" s="810">
        <f>+B13-B76</f>
        <v>0</v>
      </c>
      <c r="C77" s="811"/>
      <c r="D77" s="810">
        <f>+D13-D76</f>
        <v>0</v>
      </c>
      <c r="E77" s="811"/>
      <c r="F77" s="810">
        <f>+F13-F76</f>
        <v>0</v>
      </c>
      <c r="G77" s="811"/>
      <c r="H77" s="696"/>
      <c r="I77" s="810">
        <f>+I13-I76</f>
        <v>0</v>
      </c>
      <c r="J77" s="811"/>
      <c r="K77" s="696"/>
      <c r="L77" s="726">
        <f>+D77-I77</f>
        <v>0</v>
      </c>
    </row>
    <row r="78" spans="1:12" ht="12.75">
      <c r="A78" s="697" t="s">
        <v>107</v>
      </c>
      <c r="B78" s="812">
        <f>+B79+B82</f>
        <v>0</v>
      </c>
      <c r="C78" s="813"/>
      <c r="D78" s="812">
        <f>+D79+D82</f>
        <v>0</v>
      </c>
      <c r="E78" s="813"/>
      <c r="F78" s="812">
        <f>+F79+F82</f>
        <v>0</v>
      </c>
      <c r="G78" s="813"/>
      <c r="H78" s="694">
        <f t="shared" si="3"/>
        <v>0</v>
      </c>
      <c r="I78" s="812">
        <f>+I79+I82</f>
        <v>0</v>
      </c>
      <c r="J78" s="813"/>
      <c r="K78" s="694">
        <f aca="true" t="shared" si="4" ref="K78:K84">IF(D78="",0,IF(D78=0,0,I78/D78))</f>
        <v>0</v>
      </c>
      <c r="L78" s="739">
        <f>+D78-I78</f>
        <v>0</v>
      </c>
    </row>
    <row r="79" spans="1:12" ht="12.75">
      <c r="A79" s="679" t="s">
        <v>108</v>
      </c>
      <c r="B79" s="800">
        <f>SUM(B80:C81)</f>
        <v>0</v>
      </c>
      <c r="C79" s="801"/>
      <c r="D79" s="800">
        <f>SUM(D80:E81)</f>
        <v>0</v>
      </c>
      <c r="E79" s="801"/>
      <c r="F79" s="800">
        <f>SUM(F80:G81)</f>
        <v>0</v>
      </c>
      <c r="G79" s="801"/>
      <c r="H79" s="698">
        <f t="shared" si="3"/>
        <v>0</v>
      </c>
      <c r="I79" s="800">
        <f>SUM(I80:J81)</f>
        <v>0</v>
      </c>
      <c r="J79" s="801"/>
      <c r="K79" s="698">
        <f t="shared" si="4"/>
        <v>0</v>
      </c>
      <c r="L79" s="690">
        <f>+D79-I79</f>
        <v>0</v>
      </c>
    </row>
    <row r="80" spans="1:12" ht="12.75">
      <c r="A80" s="630" t="s">
        <v>109</v>
      </c>
      <c r="B80" s="804"/>
      <c r="C80" s="805"/>
      <c r="D80" s="804"/>
      <c r="E80" s="805"/>
      <c r="F80" s="804"/>
      <c r="G80" s="805"/>
      <c r="H80" s="185">
        <f t="shared" si="3"/>
        <v>0</v>
      </c>
      <c r="I80" s="804"/>
      <c r="J80" s="805"/>
      <c r="K80" s="185">
        <f t="shared" si="4"/>
        <v>0</v>
      </c>
      <c r="L80" s="492">
        <f aca="true" t="shared" si="5" ref="L80:L85">+D80-I80</f>
        <v>0</v>
      </c>
    </row>
    <row r="81" spans="1:12" ht="12.75">
      <c r="A81" s="699" t="s">
        <v>110</v>
      </c>
      <c r="B81" s="804"/>
      <c r="C81" s="805"/>
      <c r="D81" s="804"/>
      <c r="E81" s="805"/>
      <c r="F81" s="804"/>
      <c r="G81" s="805"/>
      <c r="H81" s="185">
        <f>IF(D81="",0,IF(D81=0,0,+F81/D81))</f>
        <v>0</v>
      </c>
      <c r="I81" s="804"/>
      <c r="J81" s="805"/>
      <c r="K81" s="185">
        <f t="shared" si="4"/>
        <v>0</v>
      </c>
      <c r="L81" s="492">
        <f t="shared" si="5"/>
        <v>0</v>
      </c>
    </row>
    <row r="82" spans="1:12" ht="12.75">
      <c r="A82" s="679" t="s">
        <v>111</v>
      </c>
      <c r="B82" s="800">
        <f>SUM(B83:C84)</f>
        <v>0</v>
      </c>
      <c r="C82" s="801"/>
      <c r="D82" s="800">
        <f>SUM(D83:E84)</f>
        <v>0</v>
      </c>
      <c r="E82" s="801"/>
      <c r="F82" s="800">
        <f>SUM(F83:G84)</f>
        <v>0</v>
      </c>
      <c r="G82" s="801"/>
      <c r="H82" s="698">
        <f>IF(D82="",0,IF(D82=0,0,+F82/D82))</f>
        <v>0</v>
      </c>
      <c r="I82" s="800">
        <f>SUM(I83:J84)</f>
        <v>0</v>
      </c>
      <c r="J82" s="801"/>
      <c r="K82" s="698">
        <f t="shared" si="4"/>
        <v>0</v>
      </c>
      <c r="L82" s="690">
        <f t="shared" si="5"/>
        <v>0</v>
      </c>
    </row>
    <row r="83" spans="1:12" ht="12.75">
      <c r="A83" s="630" t="s">
        <v>109</v>
      </c>
      <c r="B83" s="804"/>
      <c r="C83" s="805"/>
      <c r="D83" s="804"/>
      <c r="E83" s="805"/>
      <c r="F83" s="804"/>
      <c r="G83" s="805"/>
      <c r="H83" s="185">
        <f>IF(D83="",0,IF(D83=0,0,+F83/D83))</f>
        <v>0</v>
      </c>
      <c r="I83" s="804"/>
      <c r="J83" s="805"/>
      <c r="K83" s="185">
        <f t="shared" si="4"/>
        <v>0</v>
      </c>
      <c r="L83" s="492">
        <f t="shared" si="5"/>
        <v>0</v>
      </c>
    </row>
    <row r="84" spans="1:12" ht="12.75">
      <c r="A84" s="699" t="s">
        <v>110</v>
      </c>
      <c r="B84" s="804"/>
      <c r="C84" s="805"/>
      <c r="D84" s="804"/>
      <c r="E84" s="805"/>
      <c r="F84" s="804"/>
      <c r="G84" s="805"/>
      <c r="H84" s="185">
        <f>IF(D84="",0,IF(D84=0,0,+F84/D84))</f>
        <v>0</v>
      </c>
      <c r="I84" s="804"/>
      <c r="J84" s="805"/>
      <c r="K84" s="185">
        <f t="shared" si="4"/>
        <v>0</v>
      </c>
      <c r="L84" s="492">
        <f t="shared" si="5"/>
        <v>0</v>
      </c>
    </row>
    <row r="85" spans="1:12" ht="12.75">
      <c r="A85" s="695" t="s">
        <v>112</v>
      </c>
      <c r="B85" s="810">
        <f>+B77+B78</f>
        <v>0</v>
      </c>
      <c r="C85" s="811"/>
      <c r="D85" s="810">
        <f>+D77+D78</f>
        <v>0</v>
      </c>
      <c r="E85" s="811"/>
      <c r="F85" s="810">
        <f>+F77+F78</f>
        <v>0</v>
      </c>
      <c r="G85" s="811"/>
      <c r="H85" s="696"/>
      <c r="I85" s="810">
        <f>+I77+I78</f>
        <v>0</v>
      </c>
      <c r="J85" s="811"/>
      <c r="K85" s="696"/>
      <c r="L85" s="726">
        <f t="shared" si="5"/>
        <v>0</v>
      </c>
    </row>
    <row r="86" spans="1:12" ht="12.75">
      <c r="A86" s="700" t="s">
        <v>113</v>
      </c>
      <c r="B86" s="814"/>
      <c r="C86" s="815"/>
      <c r="D86" s="814"/>
      <c r="E86" s="815"/>
      <c r="F86" s="814"/>
      <c r="G86" s="815"/>
      <c r="H86" s="696"/>
      <c r="I86" s="816">
        <f>IF(A7="6º Bimestre de 2017",IF(I85-ABS(E116)&lt;0,ABS(E116)-I85,0),IF(I85-ABS(H116)&lt;0,ABS(H116)-I85,0))</f>
        <v>0</v>
      </c>
      <c r="J86" s="817"/>
      <c r="K86" s="696"/>
      <c r="L86" s="717"/>
    </row>
    <row r="87" spans="1:12" ht="12.75">
      <c r="A87" s="701" t="s">
        <v>114</v>
      </c>
      <c r="B87" s="818">
        <f>+B85</f>
        <v>0</v>
      </c>
      <c r="C87" s="819"/>
      <c r="D87" s="818">
        <f>+D85</f>
        <v>0</v>
      </c>
      <c r="E87" s="819"/>
      <c r="F87" s="818">
        <f>+F85</f>
        <v>0</v>
      </c>
      <c r="G87" s="819"/>
      <c r="H87" s="696"/>
      <c r="I87" s="818">
        <f>+I86+I85</f>
        <v>0</v>
      </c>
      <c r="J87" s="819"/>
      <c r="K87" s="696"/>
      <c r="L87" s="497">
        <f>+D87-I87</f>
        <v>0</v>
      </c>
    </row>
    <row r="88" spans="1:12" ht="25.5">
      <c r="A88" s="702" t="s">
        <v>115</v>
      </c>
      <c r="B88" s="820"/>
      <c r="C88" s="821"/>
      <c r="D88" s="820"/>
      <c r="E88" s="821"/>
      <c r="F88" s="814"/>
      <c r="G88" s="815"/>
      <c r="H88" s="696"/>
      <c r="I88" s="822"/>
      <c r="J88" s="823"/>
      <c r="K88" s="696"/>
      <c r="L88" s="717"/>
    </row>
    <row r="89" spans="1:12" ht="12.75">
      <c r="A89" s="703" t="s">
        <v>116</v>
      </c>
      <c r="B89" s="820"/>
      <c r="C89" s="821"/>
      <c r="D89" s="820"/>
      <c r="E89" s="821"/>
      <c r="F89" s="814"/>
      <c r="G89" s="815"/>
      <c r="H89" s="696"/>
      <c r="I89" s="814"/>
      <c r="J89" s="815"/>
      <c r="K89" s="696"/>
      <c r="L89" s="717"/>
    </row>
    <row r="90" spans="1:12" ht="12.75">
      <c r="A90" s="703" t="s">
        <v>117</v>
      </c>
      <c r="B90" s="814"/>
      <c r="C90" s="815"/>
      <c r="D90" s="820"/>
      <c r="E90" s="821"/>
      <c r="F90" s="814"/>
      <c r="G90" s="815"/>
      <c r="H90" s="696"/>
      <c r="I90" s="820"/>
      <c r="J90" s="821"/>
      <c r="K90" s="696"/>
      <c r="L90" s="717"/>
    </row>
    <row r="91" spans="1:12" ht="12.75">
      <c r="A91" s="704" t="s">
        <v>118</v>
      </c>
      <c r="B91" s="814"/>
      <c r="C91" s="815"/>
      <c r="D91" s="820"/>
      <c r="E91" s="821"/>
      <c r="F91" s="814"/>
      <c r="G91" s="815"/>
      <c r="H91" s="696"/>
      <c r="I91" s="820"/>
      <c r="J91" s="821"/>
      <c r="K91" s="696"/>
      <c r="L91" s="717"/>
    </row>
    <row r="92" spans="1:12" ht="12.75">
      <c r="A92" s="495"/>
      <c r="B92" s="495"/>
      <c r="C92" s="495"/>
      <c r="D92" s="495"/>
      <c r="E92" s="495"/>
      <c r="F92" s="495"/>
      <c r="G92" s="495"/>
      <c r="H92" s="495"/>
      <c r="I92" s="495"/>
      <c r="J92" s="495"/>
      <c r="K92" s="495"/>
      <c r="L92" s="495"/>
    </row>
    <row r="93" spans="1:12" ht="14.25" customHeight="1">
      <c r="A93" s="705"/>
      <c r="B93" s="833" t="s">
        <v>119</v>
      </c>
      <c r="C93" s="833" t="s">
        <v>120</v>
      </c>
      <c r="D93" s="824" t="s">
        <v>121</v>
      </c>
      <c r="E93" s="825"/>
      <c r="F93" s="706" t="s">
        <v>37</v>
      </c>
      <c r="G93" s="824" t="s">
        <v>122</v>
      </c>
      <c r="H93" s="825"/>
      <c r="I93" s="836" t="s">
        <v>37</v>
      </c>
      <c r="J93" s="833" t="s">
        <v>123</v>
      </c>
      <c r="K93" s="862" t="s">
        <v>124</v>
      </c>
      <c r="L93" s="863"/>
    </row>
    <row r="94" spans="1:12" ht="14.25" customHeight="1">
      <c r="A94" s="707" t="s">
        <v>125</v>
      </c>
      <c r="B94" s="834"/>
      <c r="C94" s="834"/>
      <c r="D94" s="833" t="s">
        <v>38</v>
      </c>
      <c r="E94" s="831" t="s">
        <v>40</v>
      </c>
      <c r="F94" s="708"/>
      <c r="G94" s="833" t="s">
        <v>38</v>
      </c>
      <c r="H94" s="831" t="s">
        <v>40</v>
      </c>
      <c r="I94" s="837"/>
      <c r="J94" s="834"/>
      <c r="K94" s="864"/>
      <c r="L94" s="865"/>
    </row>
    <row r="95" spans="1:12" ht="14.25" customHeight="1">
      <c r="A95" s="709"/>
      <c r="B95" s="834"/>
      <c r="C95" s="834"/>
      <c r="D95" s="834"/>
      <c r="E95" s="832"/>
      <c r="F95" s="708"/>
      <c r="G95" s="834"/>
      <c r="H95" s="832"/>
      <c r="I95" s="837"/>
      <c r="J95" s="834"/>
      <c r="K95" s="864"/>
      <c r="L95" s="865"/>
    </row>
    <row r="96" spans="1:12" ht="12.75" customHeight="1">
      <c r="A96" s="710"/>
      <c r="B96" s="711" t="s">
        <v>126</v>
      </c>
      <c r="C96" s="711" t="s">
        <v>127</v>
      </c>
      <c r="D96" s="835"/>
      <c r="E96" s="711" t="s">
        <v>128</v>
      </c>
      <c r="F96" s="712" t="s">
        <v>129</v>
      </c>
      <c r="G96" s="835"/>
      <c r="H96" s="711" t="s">
        <v>130</v>
      </c>
      <c r="I96" s="711" t="s">
        <v>131</v>
      </c>
      <c r="J96" s="711" t="s">
        <v>132</v>
      </c>
      <c r="K96" s="826" t="s">
        <v>133</v>
      </c>
      <c r="L96" s="827"/>
    </row>
    <row r="97" spans="1:12" ht="12.75">
      <c r="A97" s="713" t="s">
        <v>134</v>
      </c>
      <c r="B97" s="714">
        <f>+B98+B102+B106</f>
        <v>36977490.15</v>
      </c>
      <c r="C97" s="714">
        <f aca="true" t="shared" si="6" ref="C97:K97">+C98+C102+C106</f>
        <v>37154677.480000004</v>
      </c>
      <c r="D97" s="714">
        <f t="shared" si="6"/>
        <v>2883208.74</v>
      </c>
      <c r="E97" s="714">
        <f t="shared" si="6"/>
        <v>3877446.84</v>
      </c>
      <c r="F97" s="714">
        <f t="shared" si="6"/>
        <v>33277230.64</v>
      </c>
      <c r="G97" s="714">
        <f t="shared" si="6"/>
        <v>1452806.6300000001</v>
      </c>
      <c r="H97" s="714">
        <f t="shared" si="6"/>
        <v>2447044.73</v>
      </c>
      <c r="I97" s="714">
        <f t="shared" si="6"/>
        <v>34707632.75</v>
      </c>
      <c r="J97" s="714">
        <f t="shared" si="6"/>
        <v>0</v>
      </c>
      <c r="K97" s="828">
        <f t="shared" si="6"/>
        <v>0</v>
      </c>
      <c r="L97" s="799"/>
    </row>
    <row r="98" spans="1:12" ht="12.75">
      <c r="A98" s="715" t="s">
        <v>135</v>
      </c>
      <c r="B98" s="690">
        <f>SUM(B99:B101)</f>
        <v>30312573.339999996</v>
      </c>
      <c r="C98" s="690">
        <f aca="true" t="shared" si="7" ref="C98:K98">SUM(C99:C101)</f>
        <v>30489760.67</v>
      </c>
      <c r="D98" s="690">
        <f t="shared" si="7"/>
        <v>2883208.74</v>
      </c>
      <c r="E98" s="690">
        <f t="shared" si="7"/>
        <v>3877446.84</v>
      </c>
      <c r="F98" s="690">
        <f t="shared" si="7"/>
        <v>26612313.830000002</v>
      </c>
      <c r="G98" s="690">
        <f t="shared" si="7"/>
        <v>1452806.6300000001</v>
      </c>
      <c r="H98" s="690">
        <f t="shared" si="7"/>
        <v>2447044.73</v>
      </c>
      <c r="I98" s="690">
        <f t="shared" si="7"/>
        <v>28042715.94</v>
      </c>
      <c r="J98" s="690">
        <f t="shared" si="7"/>
        <v>0</v>
      </c>
      <c r="K98" s="800">
        <f t="shared" si="7"/>
        <v>0</v>
      </c>
      <c r="L98" s="801"/>
    </row>
    <row r="99" spans="1:12" s="500" customFormat="1" ht="12.75">
      <c r="A99" s="716" t="s">
        <v>136</v>
      </c>
      <c r="B99" s="372">
        <v>17559991.08</v>
      </c>
      <c r="C99" s="372">
        <v>17611678.1</v>
      </c>
      <c r="D99" s="372">
        <v>1439662.85</v>
      </c>
      <c r="E99" s="372">
        <v>2409466.42</v>
      </c>
      <c r="F99" s="645">
        <f aca="true" t="shared" si="8" ref="F99:F106">+C99-E99</f>
        <v>15202211.680000002</v>
      </c>
      <c r="G99" s="370">
        <v>1439662.85</v>
      </c>
      <c r="H99" s="370">
        <v>2409466.42</v>
      </c>
      <c r="I99" s="629">
        <f aca="true" t="shared" si="9" ref="I99:I106">+C99-H99</f>
        <v>15202211.680000002</v>
      </c>
      <c r="J99" s="740"/>
      <c r="K99" s="829"/>
      <c r="L99" s="830"/>
    </row>
    <row r="100" spans="1:12" ht="12.75">
      <c r="A100" s="716" t="s">
        <v>137</v>
      </c>
      <c r="B100" s="372"/>
      <c r="C100" s="372"/>
      <c r="D100" s="372"/>
      <c r="E100" s="372"/>
      <c r="F100" s="645">
        <f t="shared" si="8"/>
        <v>0</v>
      </c>
      <c r="G100" s="370"/>
      <c r="H100" s="370"/>
      <c r="I100" s="629">
        <f t="shared" si="9"/>
        <v>0</v>
      </c>
      <c r="J100" s="372"/>
      <c r="K100" s="829"/>
      <c r="L100" s="830"/>
    </row>
    <row r="101" spans="1:12" ht="12.75">
      <c r="A101" s="716" t="s">
        <v>138</v>
      </c>
      <c r="B101" s="372">
        <v>12752582.26</v>
      </c>
      <c r="C101" s="372">
        <v>12878082.57</v>
      </c>
      <c r="D101" s="372">
        <v>1443545.89</v>
      </c>
      <c r="E101" s="372">
        <v>1467980.42</v>
      </c>
      <c r="F101" s="645">
        <f t="shared" si="8"/>
        <v>11410102.15</v>
      </c>
      <c r="G101" s="370">
        <v>13143.78</v>
      </c>
      <c r="H101" s="370">
        <v>37578.31</v>
      </c>
      <c r="I101" s="629">
        <f t="shared" si="9"/>
        <v>12840504.26</v>
      </c>
      <c r="J101" s="372"/>
      <c r="K101" s="829"/>
      <c r="L101" s="830"/>
    </row>
    <row r="102" spans="1:12" s="500" customFormat="1" ht="12.75">
      <c r="A102" s="715" t="s">
        <v>139</v>
      </c>
      <c r="B102" s="690">
        <f aca="true" t="shared" si="10" ref="B102:H102">SUM(B103:B105)</f>
        <v>6289855.81</v>
      </c>
      <c r="C102" s="690">
        <f t="shared" si="10"/>
        <v>6289855.81</v>
      </c>
      <c r="D102" s="690">
        <f t="shared" si="10"/>
        <v>0</v>
      </c>
      <c r="E102" s="690">
        <f t="shared" si="10"/>
        <v>0</v>
      </c>
      <c r="F102" s="690">
        <f t="shared" si="8"/>
        <v>6289855.81</v>
      </c>
      <c r="G102" s="690">
        <f t="shared" si="10"/>
        <v>0</v>
      </c>
      <c r="H102" s="690">
        <f t="shared" si="10"/>
        <v>0</v>
      </c>
      <c r="I102" s="690">
        <f t="shared" si="9"/>
        <v>6289855.81</v>
      </c>
      <c r="J102" s="690">
        <f>SUM(J103:J105)</f>
        <v>0</v>
      </c>
      <c r="K102" s="800">
        <f>SUM(K103:K105)</f>
        <v>0</v>
      </c>
      <c r="L102" s="801"/>
    </row>
    <row r="103" spans="1:12" ht="12.75">
      <c r="A103" s="716" t="s">
        <v>140</v>
      </c>
      <c r="B103" s="372">
        <v>6251238.81</v>
      </c>
      <c r="C103" s="372">
        <v>6251238.81</v>
      </c>
      <c r="D103" s="372"/>
      <c r="E103" s="372"/>
      <c r="F103" s="645">
        <f t="shared" si="8"/>
        <v>6251238.81</v>
      </c>
      <c r="G103" s="370"/>
      <c r="H103" s="370"/>
      <c r="I103" s="629">
        <f t="shared" si="9"/>
        <v>6251238.81</v>
      </c>
      <c r="J103" s="372"/>
      <c r="K103" s="829"/>
      <c r="L103" s="830"/>
    </row>
    <row r="104" spans="1:12" ht="12.75">
      <c r="A104" s="716" t="s">
        <v>141</v>
      </c>
      <c r="B104" s="372">
        <v>38617</v>
      </c>
      <c r="C104" s="372">
        <v>38617</v>
      </c>
      <c r="D104" s="372"/>
      <c r="E104" s="372"/>
      <c r="F104" s="645">
        <f t="shared" si="8"/>
        <v>38617</v>
      </c>
      <c r="G104" s="370"/>
      <c r="H104" s="370"/>
      <c r="I104" s="629">
        <f t="shared" si="9"/>
        <v>38617</v>
      </c>
      <c r="J104" s="372"/>
      <c r="K104" s="829"/>
      <c r="L104" s="830"/>
    </row>
    <row r="105" spans="1:12" ht="12.75">
      <c r="A105" s="716" t="s">
        <v>142</v>
      </c>
      <c r="B105" s="372"/>
      <c r="C105" s="372"/>
      <c r="D105" s="372"/>
      <c r="E105" s="372"/>
      <c r="F105" s="645">
        <f t="shared" si="8"/>
        <v>0</v>
      </c>
      <c r="G105" s="370"/>
      <c r="H105" s="370"/>
      <c r="I105" s="629">
        <f t="shared" si="9"/>
        <v>0</v>
      </c>
      <c r="J105" s="372"/>
      <c r="K105" s="829"/>
      <c r="L105" s="830"/>
    </row>
    <row r="106" spans="1:13" ht="12.75">
      <c r="A106" s="715" t="s">
        <v>143</v>
      </c>
      <c r="B106" s="372">
        <v>375061</v>
      </c>
      <c r="C106" s="372">
        <v>375061</v>
      </c>
      <c r="D106" s="717"/>
      <c r="E106" s="717"/>
      <c r="F106" s="718">
        <f t="shared" si="8"/>
        <v>375061</v>
      </c>
      <c r="G106" s="717"/>
      <c r="H106" s="717"/>
      <c r="I106" s="718">
        <f t="shared" si="9"/>
        <v>375061</v>
      </c>
      <c r="J106" s="717"/>
      <c r="K106" s="814"/>
      <c r="L106" s="815"/>
      <c r="M106" s="741"/>
    </row>
    <row r="107" spans="1:12" ht="12.75">
      <c r="A107" s="719" t="s">
        <v>144</v>
      </c>
      <c r="B107" s="720">
        <f>+B193</f>
        <v>36602429.15</v>
      </c>
      <c r="C107" s="720">
        <f aca="true" t="shared" si="11" ref="C107:K107">+C193</f>
        <v>36779616.480000004</v>
      </c>
      <c r="D107" s="720">
        <f t="shared" si="11"/>
        <v>2883208.74</v>
      </c>
      <c r="E107" s="720">
        <f t="shared" si="11"/>
        <v>3877446.84</v>
      </c>
      <c r="F107" s="720">
        <f t="shared" si="11"/>
        <v>32902169.640000004</v>
      </c>
      <c r="G107" s="720">
        <f t="shared" si="11"/>
        <v>1452806.6300000001</v>
      </c>
      <c r="H107" s="720">
        <f t="shared" si="11"/>
        <v>2447044.73</v>
      </c>
      <c r="I107" s="720">
        <f t="shared" si="11"/>
        <v>34332571.75000001</v>
      </c>
      <c r="J107" s="720">
        <f t="shared" si="11"/>
        <v>0</v>
      </c>
      <c r="K107" s="798">
        <f t="shared" si="11"/>
        <v>0</v>
      </c>
      <c r="L107" s="799"/>
    </row>
    <row r="108" spans="1:12" ht="12.75">
      <c r="A108" s="514" t="s">
        <v>145</v>
      </c>
      <c r="B108" s="721">
        <f aca="true" t="shared" si="12" ref="B108:H108">+B97-B107</f>
        <v>375061</v>
      </c>
      <c r="C108" s="721">
        <f t="shared" si="12"/>
        <v>375061</v>
      </c>
      <c r="D108" s="721">
        <f t="shared" si="12"/>
        <v>0</v>
      </c>
      <c r="E108" s="721">
        <f t="shared" si="12"/>
        <v>0</v>
      </c>
      <c r="F108" s="721">
        <f aca="true" t="shared" si="13" ref="F108:F115">+C108-E108</f>
        <v>375061</v>
      </c>
      <c r="G108" s="721">
        <f t="shared" si="12"/>
        <v>0</v>
      </c>
      <c r="H108" s="721">
        <f t="shared" si="12"/>
        <v>0</v>
      </c>
      <c r="I108" s="549">
        <f aca="true" t="shared" si="14" ref="I108:I115">+C108-H108</f>
        <v>375061</v>
      </c>
      <c r="J108" s="721">
        <f>+J107+J97</f>
        <v>0</v>
      </c>
      <c r="K108" s="810">
        <v>0</v>
      </c>
      <c r="L108" s="811"/>
    </row>
    <row r="109" spans="1:12" ht="12.75">
      <c r="A109" s="722" t="s">
        <v>146</v>
      </c>
      <c r="B109" s="723">
        <f>+B110+B113</f>
        <v>0</v>
      </c>
      <c r="C109" s="723">
        <f aca="true" t="shared" si="15" ref="C109:K109">+C110+C113</f>
        <v>0</v>
      </c>
      <c r="D109" s="723">
        <f t="shared" si="15"/>
        <v>0</v>
      </c>
      <c r="E109" s="723">
        <f t="shared" si="15"/>
        <v>0</v>
      </c>
      <c r="F109" s="723">
        <f t="shared" si="15"/>
        <v>0</v>
      </c>
      <c r="G109" s="723">
        <f t="shared" si="15"/>
        <v>0</v>
      </c>
      <c r="H109" s="723">
        <f t="shared" si="15"/>
        <v>0</v>
      </c>
      <c r="I109" s="723">
        <f t="shared" si="15"/>
        <v>0</v>
      </c>
      <c r="J109" s="723">
        <f t="shared" si="15"/>
        <v>0</v>
      </c>
      <c r="K109" s="800">
        <f t="shared" si="15"/>
        <v>0</v>
      </c>
      <c r="L109" s="801"/>
    </row>
    <row r="110" spans="1:12" ht="12.75">
      <c r="A110" s="628" t="s">
        <v>147</v>
      </c>
      <c r="B110" s="645">
        <f>SUM(B111:B112)</f>
        <v>0</v>
      </c>
      <c r="C110" s="645">
        <f aca="true" t="shared" si="16" ref="C110:K110">SUM(C111:C112)</f>
        <v>0</v>
      </c>
      <c r="D110" s="645">
        <f t="shared" si="16"/>
        <v>0</v>
      </c>
      <c r="E110" s="645">
        <f t="shared" si="16"/>
        <v>0</v>
      </c>
      <c r="F110" s="645">
        <f t="shared" si="16"/>
        <v>0</v>
      </c>
      <c r="G110" s="645">
        <f t="shared" si="16"/>
        <v>0</v>
      </c>
      <c r="H110" s="645">
        <f t="shared" si="16"/>
        <v>0</v>
      </c>
      <c r="I110" s="645">
        <f t="shared" si="16"/>
        <v>0</v>
      </c>
      <c r="J110" s="645">
        <f t="shared" si="16"/>
        <v>0</v>
      </c>
      <c r="K110" s="802">
        <f t="shared" si="16"/>
        <v>0</v>
      </c>
      <c r="L110" s="803"/>
    </row>
    <row r="111" spans="1:12" ht="12.75">
      <c r="A111" s="630" t="s">
        <v>148</v>
      </c>
      <c r="B111" s="370"/>
      <c r="C111" s="370"/>
      <c r="D111" s="372"/>
      <c r="E111" s="370"/>
      <c r="F111" s="492">
        <f t="shared" si="13"/>
        <v>0</v>
      </c>
      <c r="G111" s="402"/>
      <c r="H111" s="402"/>
      <c r="I111" s="401">
        <f t="shared" si="14"/>
        <v>0</v>
      </c>
      <c r="J111" s="372"/>
      <c r="K111" s="804"/>
      <c r="L111" s="805"/>
    </row>
    <row r="112" spans="1:12" ht="12.75">
      <c r="A112" s="630" t="s">
        <v>149</v>
      </c>
      <c r="B112" s="370"/>
      <c r="C112" s="370"/>
      <c r="D112" s="372"/>
      <c r="E112" s="370"/>
      <c r="F112" s="492">
        <f t="shared" si="13"/>
        <v>0</v>
      </c>
      <c r="G112" s="402"/>
      <c r="H112" s="402"/>
      <c r="I112" s="401">
        <f t="shared" si="14"/>
        <v>0</v>
      </c>
      <c r="J112" s="372"/>
      <c r="K112" s="804"/>
      <c r="L112" s="805"/>
    </row>
    <row r="113" spans="1:12" ht="12.75">
      <c r="A113" s="628" t="s">
        <v>150</v>
      </c>
      <c r="B113" s="645">
        <f aca="true" t="shared" si="17" ref="B113:H113">SUM(B114:B115)</f>
        <v>0</v>
      </c>
      <c r="C113" s="645">
        <f t="shared" si="17"/>
        <v>0</v>
      </c>
      <c r="D113" s="645">
        <f t="shared" si="17"/>
        <v>0</v>
      </c>
      <c r="E113" s="645">
        <f t="shared" si="17"/>
        <v>0</v>
      </c>
      <c r="F113" s="645">
        <f t="shared" si="13"/>
        <v>0</v>
      </c>
      <c r="G113" s="645">
        <f t="shared" si="17"/>
        <v>0</v>
      </c>
      <c r="H113" s="645">
        <f t="shared" si="17"/>
        <v>0</v>
      </c>
      <c r="I113" s="645">
        <f t="shared" si="14"/>
        <v>0</v>
      </c>
      <c r="J113" s="645">
        <f>SUM(J114:J115)</f>
        <v>0</v>
      </c>
      <c r="K113" s="802">
        <f>SUM(K114:K115)</f>
        <v>0</v>
      </c>
      <c r="L113" s="803"/>
    </row>
    <row r="114" spans="1:12" ht="12.75">
      <c r="A114" s="630" t="s">
        <v>148</v>
      </c>
      <c r="B114" s="370"/>
      <c r="C114" s="370"/>
      <c r="D114" s="372"/>
      <c r="E114" s="370"/>
      <c r="F114" s="492">
        <f t="shared" si="13"/>
        <v>0</v>
      </c>
      <c r="G114" s="402"/>
      <c r="H114" s="402"/>
      <c r="I114" s="401">
        <f t="shared" si="14"/>
        <v>0</v>
      </c>
      <c r="J114" s="372"/>
      <c r="K114" s="804"/>
      <c r="L114" s="805"/>
    </row>
    <row r="115" spans="1:12" ht="12.75">
      <c r="A115" s="724" t="s">
        <v>149</v>
      </c>
      <c r="B115" s="370"/>
      <c r="C115" s="370"/>
      <c r="D115" s="372"/>
      <c r="E115" s="370"/>
      <c r="F115" s="492">
        <f t="shared" si="13"/>
        <v>0</v>
      </c>
      <c r="G115" s="402"/>
      <c r="H115" s="402"/>
      <c r="I115" s="401">
        <f t="shared" si="14"/>
        <v>0</v>
      </c>
      <c r="J115" s="372"/>
      <c r="K115" s="804"/>
      <c r="L115" s="805"/>
    </row>
    <row r="116" spans="1:12" ht="12.75">
      <c r="A116" s="725" t="s">
        <v>151</v>
      </c>
      <c r="B116" s="726">
        <f aca="true" t="shared" si="18" ref="B116:K116">+B108+B109</f>
        <v>375061</v>
      </c>
      <c r="C116" s="726">
        <f t="shared" si="18"/>
        <v>375061</v>
      </c>
      <c r="D116" s="726">
        <f t="shared" si="18"/>
        <v>0</v>
      </c>
      <c r="E116" s="726">
        <f t="shared" si="18"/>
        <v>0</v>
      </c>
      <c r="F116" s="726">
        <f t="shared" si="18"/>
        <v>375061</v>
      </c>
      <c r="G116" s="726">
        <f t="shared" si="18"/>
        <v>0</v>
      </c>
      <c r="H116" s="726">
        <f t="shared" si="18"/>
        <v>0</v>
      </c>
      <c r="I116" s="726">
        <f t="shared" si="18"/>
        <v>375061</v>
      </c>
      <c r="J116" s="726">
        <f t="shared" si="18"/>
        <v>0</v>
      </c>
      <c r="K116" s="838">
        <f t="shared" si="18"/>
        <v>0</v>
      </c>
      <c r="L116" s="838"/>
    </row>
    <row r="117" spans="1:12" ht="12.75">
      <c r="A117" s="514" t="s">
        <v>152</v>
      </c>
      <c r="B117" s="717"/>
      <c r="C117" s="717"/>
      <c r="D117" s="717"/>
      <c r="E117" s="727">
        <f aca="true" t="shared" si="19" ref="E117:J117">IF($I$85-E116&lt;0,0,$I$85-E116)</f>
        <v>0</v>
      </c>
      <c r="F117" s="717"/>
      <c r="G117" s="717"/>
      <c r="H117" s="727">
        <f t="shared" si="19"/>
        <v>0</v>
      </c>
      <c r="I117" s="717"/>
      <c r="J117" s="727">
        <f t="shared" si="19"/>
        <v>0</v>
      </c>
      <c r="K117" s="814"/>
      <c r="L117" s="815"/>
    </row>
    <row r="118" spans="1:13" ht="12.75" customHeight="1">
      <c r="A118" s="728" t="s">
        <v>153</v>
      </c>
      <c r="B118" s="729">
        <f>+B117+B116</f>
        <v>375061</v>
      </c>
      <c r="C118" s="729">
        <f aca="true" t="shared" si="20" ref="C118:H118">+C117+C116</f>
        <v>375061</v>
      </c>
      <c r="D118" s="729">
        <f t="shared" si="20"/>
        <v>0</v>
      </c>
      <c r="E118" s="729">
        <f t="shared" si="20"/>
        <v>0</v>
      </c>
      <c r="F118" s="717"/>
      <c r="G118" s="717"/>
      <c r="H118" s="729">
        <f t="shared" si="20"/>
        <v>0</v>
      </c>
      <c r="I118" s="717"/>
      <c r="J118" s="729">
        <f>+J117+J116</f>
        <v>0</v>
      </c>
      <c r="K118" s="814"/>
      <c r="L118" s="815"/>
      <c r="M118" s="742"/>
    </row>
    <row r="119" spans="1:13" ht="12.75">
      <c r="A119" s="715" t="s">
        <v>154</v>
      </c>
      <c r="B119" s="730"/>
      <c r="C119" s="730"/>
      <c r="D119" s="717"/>
      <c r="E119" s="730"/>
      <c r="F119" s="731">
        <f>+C119-E119</f>
        <v>0</v>
      </c>
      <c r="G119" s="717"/>
      <c r="H119" s="730"/>
      <c r="I119" s="731">
        <f>+C119-H119</f>
        <v>0</v>
      </c>
      <c r="J119" s="717"/>
      <c r="K119" s="814"/>
      <c r="L119" s="815"/>
      <c r="M119" s="741"/>
    </row>
    <row r="120" spans="1:13" ht="12.75" customHeight="1">
      <c r="A120" s="839" t="s">
        <v>155</v>
      </c>
      <c r="B120" s="839"/>
      <c r="C120" s="839"/>
      <c r="D120" s="839"/>
      <c r="E120" s="839"/>
      <c r="F120" s="839"/>
      <c r="G120" s="839"/>
      <c r="H120" s="839"/>
      <c r="I120" s="839"/>
      <c r="J120" s="839"/>
      <c r="K120" s="840"/>
      <c r="L120" s="495"/>
      <c r="M120" s="742"/>
    </row>
    <row r="121" spans="1:12" ht="12.75" customHeight="1">
      <c r="A121" s="840" t="s">
        <v>156</v>
      </c>
      <c r="B121" s="840"/>
      <c r="C121" s="840"/>
      <c r="D121" s="140"/>
      <c r="E121" s="140"/>
      <c r="F121" s="140"/>
      <c r="G121" s="140"/>
      <c r="H121" s="140"/>
      <c r="I121" s="140"/>
      <c r="J121" s="140"/>
      <c r="K121" s="140"/>
      <c r="L121" s="495"/>
    </row>
    <row r="122" spans="1:12" ht="12.75" customHeight="1">
      <c r="A122" s="140"/>
      <c r="B122" s="140"/>
      <c r="C122" s="140"/>
      <c r="D122" s="140"/>
      <c r="E122" s="140"/>
      <c r="F122" s="140"/>
      <c r="G122" s="140"/>
      <c r="H122" s="732"/>
      <c r="I122" s="725"/>
      <c r="J122" s="140"/>
      <c r="K122" s="140"/>
      <c r="L122" s="495"/>
    </row>
    <row r="123" spans="1:12" s="665" customFormat="1" ht="11.25" customHeight="1">
      <c r="A123" s="733"/>
      <c r="B123" s="856" t="s">
        <v>34</v>
      </c>
      <c r="C123" s="857"/>
      <c r="D123" s="856" t="s">
        <v>35</v>
      </c>
      <c r="E123" s="857"/>
      <c r="F123" s="841" t="s">
        <v>36</v>
      </c>
      <c r="G123" s="842"/>
      <c r="H123" s="842"/>
      <c r="I123" s="842"/>
      <c r="J123" s="842"/>
      <c r="K123" s="843"/>
      <c r="L123" s="743" t="s">
        <v>37</v>
      </c>
    </row>
    <row r="124" spans="1:12" ht="11.25" customHeight="1">
      <c r="A124" s="734" t="s">
        <v>157</v>
      </c>
      <c r="B124" s="858"/>
      <c r="C124" s="859"/>
      <c r="D124" s="858"/>
      <c r="E124" s="859"/>
      <c r="F124" s="792" t="s">
        <v>38</v>
      </c>
      <c r="G124" s="793"/>
      <c r="H124" s="674" t="s">
        <v>39</v>
      </c>
      <c r="I124" s="794" t="s">
        <v>40</v>
      </c>
      <c r="J124" s="795"/>
      <c r="K124" s="673" t="s">
        <v>39</v>
      </c>
      <c r="L124" s="744"/>
    </row>
    <row r="125" spans="1:12" ht="11.25" customHeight="1">
      <c r="A125" s="735"/>
      <c r="B125" s="736"/>
      <c r="C125" s="737"/>
      <c r="D125" s="796" t="s">
        <v>41</v>
      </c>
      <c r="E125" s="797"/>
      <c r="F125" s="796" t="s">
        <v>42</v>
      </c>
      <c r="G125" s="797"/>
      <c r="H125" s="676" t="s">
        <v>43</v>
      </c>
      <c r="I125" s="796" t="s">
        <v>44</v>
      </c>
      <c r="J125" s="797"/>
      <c r="K125" s="675" t="s">
        <v>45</v>
      </c>
      <c r="L125" s="688" t="s">
        <v>46</v>
      </c>
    </row>
    <row r="126" spans="1:12" ht="11.25" customHeight="1">
      <c r="A126" s="738" t="s">
        <v>158</v>
      </c>
      <c r="B126" s="798">
        <f>+B127+B167</f>
        <v>36977490.150000006</v>
      </c>
      <c r="C126" s="799"/>
      <c r="D126" s="798">
        <f>+D127+D167</f>
        <v>36977490.150000006</v>
      </c>
      <c r="E126" s="799"/>
      <c r="F126" s="798">
        <f>+F127+F167</f>
        <v>3104858.18</v>
      </c>
      <c r="G126" s="799"/>
      <c r="H126" s="694">
        <f>IF($D126="",0,IF($D126=0,0,+F126/$D126))</f>
        <v>0.0839661688071601</v>
      </c>
      <c r="I126" s="798">
        <f>+I127+I167</f>
        <v>4689443.38</v>
      </c>
      <c r="J126" s="799"/>
      <c r="K126" s="694">
        <f aca="true" t="shared" si="21" ref="K126:K136">IF($D126="",0,IF($D126=0,0,+I126/$D126))</f>
        <v>0.12681886631507897</v>
      </c>
      <c r="L126" s="689">
        <f>+D126-I126</f>
        <v>32288046.770000007</v>
      </c>
    </row>
    <row r="127" spans="1:12" ht="11.25" customHeight="1">
      <c r="A127" s="679" t="s">
        <v>48</v>
      </c>
      <c r="B127" s="800">
        <f>+B128+B132+B136+B144+B148+B153+B154+B161</f>
        <v>41477832.02</v>
      </c>
      <c r="C127" s="801"/>
      <c r="D127" s="800">
        <f>+D128+D132+D136+D144+D148+D153+D154+D161</f>
        <v>41477832.02</v>
      </c>
      <c r="E127" s="801"/>
      <c r="F127" s="800">
        <f>+F128+F132+F136+F144+F148+F153+F154+F161</f>
        <v>3104858.18</v>
      </c>
      <c r="G127" s="801"/>
      <c r="H127" s="680">
        <f>IF($D127="",0,IF($D127=0,0,+F127/$D127))</f>
        <v>0.07485584537067615</v>
      </c>
      <c r="I127" s="800">
        <f>+I128+I132+I136+I144+I148+I153+I154+I161</f>
        <v>4689443.38</v>
      </c>
      <c r="J127" s="801"/>
      <c r="K127" s="680">
        <f t="shared" si="21"/>
        <v>0.11305902819942033</v>
      </c>
      <c r="L127" s="690">
        <f aca="true" t="shared" si="22" ref="L127:L188">+D127-I127</f>
        <v>36788388.64</v>
      </c>
    </row>
    <row r="128" spans="1:12" ht="11.25" customHeight="1">
      <c r="A128" s="628" t="s">
        <v>49</v>
      </c>
      <c r="B128" s="802">
        <f>SUM(B129:C131)</f>
        <v>515074.07</v>
      </c>
      <c r="C128" s="803"/>
      <c r="D128" s="802">
        <f>SUM(D129:E131)</f>
        <v>515074.07</v>
      </c>
      <c r="E128" s="803"/>
      <c r="F128" s="802">
        <f>SUM(F129:G131)</f>
        <v>28321.96</v>
      </c>
      <c r="G128" s="803"/>
      <c r="H128" s="681">
        <f>IF($D128="",0,IF($D128=0,0,+F128/$D128))</f>
        <v>0.05498618868544479</v>
      </c>
      <c r="I128" s="802">
        <f>SUM(I129:J131)</f>
        <v>152786.92</v>
      </c>
      <c r="J128" s="803"/>
      <c r="K128" s="681">
        <f t="shared" si="21"/>
        <v>0.296630968046984</v>
      </c>
      <c r="L128" s="645">
        <f t="shared" si="22"/>
        <v>362287.15</v>
      </c>
    </row>
    <row r="129" spans="1:12" ht="11.25" customHeight="1">
      <c r="A129" s="630" t="s">
        <v>50</v>
      </c>
      <c r="B129" s="804">
        <v>453181.07</v>
      </c>
      <c r="C129" s="805"/>
      <c r="D129" s="804">
        <v>453181.07</v>
      </c>
      <c r="E129" s="805"/>
      <c r="F129" s="804">
        <v>28321.96</v>
      </c>
      <c r="G129" s="805"/>
      <c r="H129" s="185">
        <f>IF($D129="",0,IF($D129=0,0,+F129/$D129))</f>
        <v>0.062495902575983586</v>
      </c>
      <c r="I129" s="804">
        <v>152786.92</v>
      </c>
      <c r="J129" s="805"/>
      <c r="K129" s="185">
        <f t="shared" si="21"/>
        <v>0.33714320856341157</v>
      </c>
      <c r="L129" s="492">
        <f t="shared" si="22"/>
        <v>300394.15</v>
      </c>
    </row>
    <row r="130" spans="1:12" ht="11.25" customHeight="1">
      <c r="A130" s="630" t="s">
        <v>51</v>
      </c>
      <c r="B130" s="804">
        <v>44436</v>
      </c>
      <c r="C130" s="805"/>
      <c r="D130" s="804">
        <v>44436</v>
      </c>
      <c r="E130" s="805"/>
      <c r="F130" s="804"/>
      <c r="G130" s="805"/>
      <c r="H130" s="185">
        <f aca="true" t="shared" si="23" ref="H130:H188">IF(D130="",0,IF(D130=0,0,+F130/D130))</f>
        <v>0</v>
      </c>
      <c r="I130" s="804"/>
      <c r="J130" s="805"/>
      <c r="K130" s="185">
        <f t="shared" si="21"/>
        <v>0</v>
      </c>
      <c r="L130" s="492">
        <f t="shared" si="22"/>
        <v>44436</v>
      </c>
    </row>
    <row r="131" spans="1:12" ht="11.25" customHeight="1">
      <c r="A131" s="630" t="s">
        <v>52</v>
      </c>
      <c r="B131" s="804">
        <v>17457</v>
      </c>
      <c r="C131" s="805"/>
      <c r="D131" s="804">
        <v>17457</v>
      </c>
      <c r="E131" s="805"/>
      <c r="F131" s="804"/>
      <c r="G131" s="805"/>
      <c r="H131" s="185">
        <f t="shared" si="23"/>
        <v>0</v>
      </c>
      <c r="I131" s="804"/>
      <c r="J131" s="805"/>
      <c r="K131" s="185">
        <f t="shared" si="21"/>
        <v>0</v>
      </c>
      <c r="L131" s="492">
        <f t="shared" si="22"/>
        <v>17457</v>
      </c>
    </row>
    <row r="132" spans="1:12" ht="11.25" customHeight="1">
      <c r="A132" s="628" t="s">
        <v>53</v>
      </c>
      <c r="B132" s="802">
        <f>SUM(B133:C135)</f>
        <v>132250</v>
      </c>
      <c r="C132" s="803"/>
      <c r="D132" s="802">
        <f>SUM(D133:E135)</f>
        <v>132250</v>
      </c>
      <c r="E132" s="803"/>
      <c r="F132" s="802">
        <f>SUM(F133:G135)</f>
        <v>0</v>
      </c>
      <c r="G132" s="803"/>
      <c r="H132" s="681">
        <f t="shared" si="23"/>
        <v>0</v>
      </c>
      <c r="I132" s="802">
        <f>SUM(I133:J135)</f>
        <v>0</v>
      </c>
      <c r="J132" s="803"/>
      <c r="K132" s="681">
        <f t="shared" si="21"/>
        <v>0</v>
      </c>
      <c r="L132" s="645">
        <f t="shared" si="22"/>
        <v>132250</v>
      </c>
    </row>
    <row r="133" spans="1:12" ht="11.25" customHeight="1">
      <c r="A133" s="630" t="s">
        <v>54</v>
      </c>
      <c r="B133" s="804"/>
      <c r="C133" s="805"/>
      <c r="D133" s="804"/>
      <c r="E133" s="805"/>
      <c r="F133" s="804"/>
      <c r="G133" s="805"/>
      <c r="H133" s="185">
        <f t="shared" si="23"/>
        <v>0</v>
      </c>
      <c r="I133" s="804"/>
      <c r="J133" s="805"/>
      <c r="K133" s="185">
        <f t="shared" si="21"/>
        <v>0</v>
      </c>
      <c r="L133" s="492">
        <f t="shared" si="22"/>
        <v>0</v>
      </c>
    </row>
    <row r="134" spans="1:12" ht="11.25" customHeight="1">
      <c r="A134" s="630" t="s">
        <v>55</v>
      </c>
      <c r="B134" s="804">
        <v>132250</v>
      </c>
      <c r="C134" s="805"/>
      <c r="D134" s="804">
        <v>132250</v>
      </c>
      <c r="E134" s="805"/>
      <c r="F134" s="804"/>
      <c r="G134" s="805"/>
      <c r="H134" s="185">
        <f t="shared" si="23"/>
        <v>0</v>
      </c>
      <c r="I134" s="804"/>
      <c r="J134" s="805"/>
      <c r="K134" s="185">
        <f t="shared" si="21"/>
        <v>0</v>
      </c>
      <c r="L134" s="492">
        <f t="shared" si="22"/>
        <v>132250</v>
      </c>
    </row>
    <row r="135" spans="1:12" ht="11.25" customHeight="1">
      <c r="A135" s="630" t="s">
        <v>56</v>
      </c>
      <c r="B135" s="804"/>
      <c r="C135" s="805"/>
      <c r="D135" s="804"/>
      <c r="E135" s="805"/>
      <c r="F135" s="804"/>
      <c r="G135" s="805"/>
      <c r="H135" s="185">
        <f t="shared" si="23"/>
        <v>0</v>
      </c>
      <c r="I135" s="804"/>
      <c r="J135" s="805"/>
      <c r="K135" s="185">
        <f t="shared" si="21"/>
        <v>0</v>
      </c>
      <c r="L135" s="492">
        <f t="shared" si="22"/>
        <v>0</v>
      </c>
    </row>
    <row r="136" spans="1:12" ht="11.25" customHeight="1">
      <c r="A136" s="628" t="s">
        <v>57</v>
      </c>
      <c r="B136" s="802">
        <f>SUM(B137:C143)</f>
        <v>100450.48</v>
      </c>
      <c r="C136" s="803"/>
      <c r="D136" s="802">
        <f>SUM(D137:E143)</f>
        <v>100450.48</v>
      </c>
      <c r="E136" s="803"/>
      <c r="F136" s="802">
        <f>SUM(F137:G143)</f>
        <v>7619</v>
      </c>
      <c r="G136" s="803"/>
      <c r="H136" s="681">
        <f t="shared" si="23"/>
        <v>0.07584831849484443</v>
      </c>
      <c r="I136" s="802">
        <f>SUM(I137:J143)</f>
        <v>10108.12</v>
      </c>
      <c r="J136" s="803"/>
      <c r="K136" s="681">
        <f t="shared" si="21"/>
        <v>0.10062789147448575</v>
      </c>
      <c r="L136" s="645">
        <f t="shared" si="22"/>
        <v>90342.36</v>
      </c>
    </row>
    <row r="137" spans="1:12" ht="11.25" customHeight="1">
      <c r="A137" s="630" t="s">
        <v>58</v>
      </c>
      <c r="B137" s="804">
        <v>52767.75</v>
      </c>
      <c r="C137" s="805"/>
      <c r="D137" s="804">
        <v>52767.75</v>
      </c>
      <c r="E137" s="805"/>
      <c r="F137" s="804"/>
      <c r="G137" s="805"/>
      <c r="H137" s="185">
        <f t="shared" si="23"/>
        <v>0</v>
      </c>
      <c r="I137" s="804"/>
      <c r="J137" s="805"/>
      <c r="K137" s="185">
        <f aca="true" t="shared" si="24" ref="K137:K148">IF($D137="",0,IF($D137=0,0,+I137/$D137))</f>
        <v>0</v>
      </c>
      <c r="L137" s="492">
        <f t="shared" si="22"/>
        <v>52767.75</v>
      </c>
    </row>
    <row r="138" spans="1:12" ht="11.25" customHeight="1">
      <c r="A138" s="630" t="s">
        <v>59</v>
      </c>
      <c r="B138" s="804">
        <v>40078.36</v>
      </c>
      <c r="C138" s="805"/>
      <c r="D138" s="804">
        <v>40078.36</v>
      </c>
      <c r="E138" s="805"/>
      <c r="F138" s="804"/>
      <c r="G138" s="805"/>
      <c r="H138" s="185">
        <f t="shared" si="23"/>
        <v>0</v>
      </c>
      <c r="I138" s="804"/>
      <c r="J138" s="805"/>
      <c r="K138" s="185">
        <f t="shared" si="24"/>
        <v>0</v>
      </c>
      <c r="L138" s="492">
        <f t="shared" si="22"/>
        <v>40078.36</v>
      </c>
    </row>
    <row r="139" spans="1:12" ht="11.25" customHeight="1">
      <c r="A139" s="630" t="s">
        <v>60</v>
      </c>
      <c r="B139" s="804"/>
      <c r="C139" s="805"/>
      <c r="D139" s="804"/>
      <c r="E139" s="805"/>
      <c r="F139" s="804">
        <v>7619</v>
      </c>
      <c r="G139" s="805"/>
      <c r="H139" s="185">
        <f t="shared" si="23"/>
        <v>0</v>
      </c>
      <c r="I139" s="804">
        <v>10108.12</v>
      </c>
      <c r="J139" s="805"/>
      <c r="K139" s="185">
        <f t="shared" si="24"/>
        <v>0</v>
      </c>
      <c r="L139" s="492">
        <f t="shared" si="22"/>
        <v>-10108.12</v>
      </c>
    </row>
    <row r="140" spans="1:12" ht="10.5" customHeight="1">
      <c r="A140" s="630" t="s">
        <v>61</v>
      </c>
      <c r="B140" s="804"/>
      <c r="C140" s="805"/>
      <c r="D140" s="804"/>
      <c r="E140" s="805"/>
      <c r="F140" s="804"/>
      <c r="G140" s="805"/>
      <c r="H140" s="185">
        <f t="shared" si="23"/>
        <v>0</v>
      </c>
      <c r="I140" s="804"/>
      <c r="J140" s="805"/>
      <c r="K140" s="185">
        <f t="shared" si="24"/>
        <v>0</v>
      </c>
      <c r="L140" s="492">
        <f t="shared" si="22"/>
        <v>0</v>
      </c>
    </row>
    <row r="141" spans="1:12" s="666" customFormat="1" ht="24" customHeight="1">
      <c r="A141" s="683" t="s">
        <v>62</v>
      </c>
      <c r="B141" s="806"/>
      <c r="C141" s="807"/>
      <c r="D141" s="806"/>
      <c r="E141" s="807"/>
      <c r="F141" s="806"/>
      <c r="G141" s="807"/>
      <c r="H141" s="464">
        <f t="shared" si="23"/>
        <v>0</v>
      </c>
      <c r="I141" s="806"/>
      <c r="J141" s="807"/>
      <c r="K141" s="464">
        <f t="shared" si="24"/>
        <v>0</v>
      </c>
      <c r="L141" s="520">
        <f t="shared" si="22"/>
        <v>0</v>
      </c>
    </row>
    <row r="142" spans="1:12" ht="11.25" customHeight="1">
      <c r="A142" s="683" t="s">
        <v>63</v>
      </c>
      <c r="B142" s="804"/>
      <c r="C142" s="805"/>
      <c r="D142" s="804"/>
      <c r="E142" s="805"/>
      <c r="F142" s="804"/>
      <c r="G142" s="805"/>
      <c r="H142" s="185">
        <f t="shared" si="23"/>
        <v>0</v>
      </c>
      <c r="I142" s="804"/>
      <c r="J142" s="805"/>
      <c r="K142" s="185">
        <f t="shared" si="24"/>
        <v>0</v>
      </c>
      <c r="L142" s="492">
        <f t="shared" si="22"/>
        <v>0</v>
      </c>
    </row>
    <row r="143" spans="1:12" ht="11.25" customHeight="1">
      <c r="A143" s="630" t="s">
        <v>64</v>
      </c>
      <c r="B143" s="804">
        <v>7604.37</v>
      </c>
      <c r="C143" s="805"/>
      <c r="D143" s="804">
        <v>7604.37</v>
      </c>
      <c r="E143" s="805"/>
      <c r="F143" s="804"/>
      <c r="G143" s="805"/>
      <c r="H143" s="185">
        <f t="shared" si="23"/>
        <v>0</v>
      </c>
      <c r="I143" s="804"/>
      <c r="J143" s="805"/>
      <c r="K143" s="185">
        <f t="shared" si="24"/>
        <v>0</v>
      </c>
      <c r="L143" s="492">
        <f t="shared" si="22"/>
        <v>7604.37</v>
      </c>
    </row>
    <row r="144" spans="1:12" ht="11.25" customHeight="1">
      <c r="A144" s="628" t="s">
        <v>65</v>
      </c>
      <c r="B144" s="802">
        <f>SUM(B145:C147)</f>
        <v>5627.24</v>
      </c>
      <c r="C144" s="803"/>
      <c r="D144" s="802">
        <f>SUM(D145:E147)</f>
        <v>5627.24</v>
      </c>
      <c r="E144" s="803"/>
      <c r="F144" s="802">
        <f>SUM(F145:G147)</f>
        <v>0</v>
      </c>
      <c r="G144" s="803"/>
      <c r="H144" s="681">
        <f t="shared" si="23"/>
        <v>0</v>
      </c>
      <c r="I144" s="802">
        <f>SUM(I145:J147)</f>
        <v>0</v>
      </c>
      <c r="J144" s="803"/>
      <c r="K144" s="681">
        <f t="shared" si="24"/>
        <v>0</v>
      </c>
      <c r="L144" s="645">
        <f t="shared" si="22"/>
        <v>5627.24</v>
      </c>
    </row>
    <row r="145" spans="1:12" ht="11.25" customHeight="1">
      <c r="A145" s="630" t="s">
        <v>66</v>
      </c>
      <c r="B145" s="804"/>
      <c r="C145" s="805"/>
      <c r="D145" s="804"/>
      <c r="E145" s="805"/>
      <c r="F145" s="804"/>
      <c r="G145" s="805"/>
      <c r="H145" s="185">
        <f t="shared" si="23"/>
        <v>0</v>
      </c>
      <c r="I145" s="804"/>
      <c r="J145" s="805"/>
      <c r="K145" s="185">
        <f t="shared" si="24"/>
        <v>0</v>
      </c>
      <c r="L145" s="492">
        <f t="shared" si="22"/>
        <v>0</v>
      </c>
    </row>
    <row r="146" spans="1:12" ht="11.25" customHeight="1">
      <c r="A146" s="630" t="s">
        <v>67</v>
      </c>
      <c r="B146" s="804"/>
      <c r="C146" s="805"/>
      <c r="D146" s="804"/>
      <c r="E146" s="805"/>
      <c r="F146" s="804"/>
      <c r="G146" s="805"/>
      <c r="H146" s="185">
        <f t="shared" si="23"/>
        <v>0</v>
      </c>
      <c r="I146" s="804"/>
      <c r="J146" s="805"/>
      <c r="K146" s="185">
        <f t="shared" si="24"/>
        <v>0</v>
      </c>
      <c r="L146" s="492">
        <f t="shared" si="22"/>
        <v>0</v>
      </c>
    </row>
    <row r="147" spans="1:12" ht="11.25" customHeight="1">
      <c r="A147" s="630" t="s">
        <v>68</v>
      </c>
      <c r="B147" s="804">
        <v>5627.24</v>
      </c>
      <c r="C147" s="805"/>
      <c r="D147" s="804">
        <v>5627.24</v>
      </c>
      <c r="E147" s="805"/>
      <c r="F147" s="804"/>
      <c r="G147" s="805"/>
      <c r="H147" s="185">
        <f t="shared" si="23"/>
        <v>0</v>
      </c>
      <c r="I147" s="804"/>
      <c r="J147" s="805"/>
      <c r="K147" s="185">
        <f t="shared" si="24"/>
        <v>0</v>
      </c>
      <c r="L147" s="492">
        <f t="shared" si="22"/>
        <v>5627.24</v>
      </c>
    </row>
    <row r="148" spans="1:12" ht="11.25" customHeight="1">
      <c r="A148" s="628" t="s">
        <v>69</v>
      </c>
      <c r="B148" s="802">
        <f>SUM(B149:C152)</f>
        <v>9885.69</v>
      </c>
      <c r="C148" s="803"/>
      <c r="D148" s="802">
        <f>SUM(D149:E152)</f>
        <v>9885.69</v>
      </c>
      <c r="E148" s="803"/>
      <c r="F148" s="802">
        <f>SUM(F149:G152)</f>
        <v>0</v>
      </c>
      <c r="G148" s="803"/>
      <c r="H148" s="681">
        <f t="shared" si="23"/>
        <v>0</v>
      </c>
      <c r="I148" s="802">
        <f>SUM(I149:J152)</f>
        <v>0</v>
      </c>
      <c r="J148" s="803"/>
      <c r="K148" s="681">
        <f t="shared" si="24"/>
        <v>0</v>
      </c>
      <c r="L148" s="645">
        <f t="shared" si="22"/>
        <v>9885.69</v>
      </c>
    </row>
    <row r="149" spans="1:12" ht="11.25" customHeight="1">
      <c r="A149" s="630" t="s">
        <v>70</v>
      </c>
      <c r="B149" s="804"/>
      <c r="C149" s="805"/>
      <c r="D149" s="804"/>
      <c r="E149" s="805"/>
      <c r="F149" s="804"/>
      <c r="G149" s="805"/>
      <c r="H149" s="185">
        <f t="shared" si="23"/>
        <v>0</v>
      </c>
      <c r="I149" s="804"/>
      <c r="J149" s="805"/>
      <c r="K149" s="185">
        <f aca="true" t="shared" si="25" ref="K149:K154">IF($D149="",0,IF($D149=0,0,+I149/$D149))</f>
        <v>0</v>
      </c>
      <c r="L149" s="492">
        <f t="shared" si="22"/>
        <v>0</v>
      </c>
    </row>
    <row r="150" spans="1:12" ht="11.25" customHeight="1">
      <c r="A150" s="630" t="s">
        <v>71</v>
      </c>
      <c r="B150" s="804"/>
      <c r="C150" s="805"/>
      <c r="D150" s="804"/>
      <c r="E150" s="805"/>
      <c r="F150" s="804"/>
      <c r="G150" s="805"/>
      <c r="H150" s="185">
        <f t="shared" si="23"/>
        <v>0</v>
      </c>
      <c r="I150" s="804"/>
      <c r="J150" s="805"/>
      <c r="K150" s="185">
        <f t="shared" si="25"/>
        <v>0</v>
      </c>
      <c r="L150" s="492">
        <f t="shared" si="22"/>
        <v>0</v>
      </c>
    </row>
    <row r="151" spans="1:12" ht="11.25" customHeight="1">
      <c r="A151" s="630" t="s">
        <v>72</v>
      </c>
      <c r="B151" s="804">
        <v>9885.69</v>
      </c>
      <c r="C151" s="805"/>
      <c r="D151" s="804">
        <v>9885.69</v>
      </c>
      <c r="E151" s="805"/>
      <c r="F151" s="804"/>
      <c r="G151" s="805"/>
      <c r="H151" s="185">
        <f t="shared" si="23"/>
        <v>0</v>
      </c>
      <c r="I151" s="804"/>
      <c r="J151" s="805"/>
      <c r="K151" s="185">
        <f t="shared" si="25"/>
        <v>0</v>
      </c>
      <c r="L151" s="492">
        <f t="shared" si="22"/>
        <v>9885.69</v>
      </c>
    </row>
    <row r="152" spans="1:12" ht="11.25" customHeight="1">
      <c r="A152" s="630" t="s">
        <v>159</v>
      </c>
      <c r="B152" s="804"/>
      <c r="C152" s="805"/>
      <c r="D152" s="804"/>
      <c r="E152" s="805"/>
      <c r="F152" s="804"/>
      <c r="G152" s="805"/>
      <c r="H152" s="185">
        <f t="shared" si="23"/>
        <v>0</v>
      </c>
      <c r="I152" s="804"/>
      <c r="J152" s="805"/>
      <c r="K152" s="185">
        <f t="shared" si="25"/>
        <v>0</v>
      </c>
      <c r="L152" s="492">
        <f t="shared" si="22"/>
        <v>0</v>
      </c>
    </row>
    <row r="153" spans="1:12" ht="11.25" customHeight="1">
      <c r="A153" s="628" t="s">
        <v>74</v>
      </c>
      <c r="B153" s="804">
        <v>4258.45</v>
      </c>
      <c r="C153" s="805"/>
      <c r="D153" s="804">
        <v>4258.45</v>
      </c>
      <c r="E153" s="805"/>
      <c r="F153" s="804"/>
      <c r="G153" s="805"/>
      <c r="H153" s="681">
        <f t="shared" si="23"/>
        <v>0</v>
      </c>
      <c r="I153" s="804"/>
      <c r="J153" s="805"/>
      <c r="K153" s="681">
        <f t="shared" si="25"/>
        <v>0</v>
      </c>
      <c r="L153" s="645">
        <f t="shared" si="22"/>
        <v>4258.45</v>
      </c>
    </row>
    <row r="154" spans="1:12" ht="11.25" customHeight="1">
      <c r="A154" s="628" t="s">
        <v>75</v>
      </c>
      <c r="B154" s="802">
        <f>SUM(B155:C160)</f>
        <v>40681693.64</v>
      </c>
      <c r="C154" s="803"/>
      <c r="D154" s="802">
        <f>SUM(D155:E160)</f>
        <v>40681693.64</v>
      </c>
      <c r="E154" s="803"/>
      <c r="F154" s="802">
        <f>SUM(F155:G160)</f>
        <v>3068917.22</v>
      </c>
      <c r="G154" s="803"/>
      <c r="H154" s="681">
        <f t="shared" si="23"/>
        <v>0.07543730227058462</v>
      </c>
      <c r="I154" s="802">
        <f>SUM(I155:J160)</f>
        <v>4526548.34</v>
      </c>
      <c r="J154" s="803"/>
      <c r="K154" s="681">
        <f t="shared" si="25"/>
        <v>0.11126745066359041</v>
      </c>
      <c r="L154" s="645">
        <f t="shared" si="22"/>
        <v>36155145.3</v>
      </c>
    </row>
    <row r="155" spans="1:12" ht="11.25" customHeight="1">
      <c r="A155" s="630" t="s">
        <v>76</v>
      </c>
      <c r="B155" s="804">
        <v>39945061.14</v>
      </c>
      <c r="C155" s="805"/>
      <c r="D155" s="804">
        <v>39945061.14</v>
      </c>
      <c r="E155" s="805"/>
      <c r="F155" s="804">
        <v>3068917.22</v>
      </c>
      <c r="G155" s="805"/>
      <c r="H155" s="185">
        <f t="shared" si="23"/>
        <v>0.07682845218947136</v>
      </c>
      <c r="I155" s="804">
        <v>4526548.34</v>
      </c>
      <c r="J155" s="805"/>
      <c r="K155" s="185">
        <f aca="true" t="shared" si="26" ref="K155:K160">IF($D155="",0,IF($D155=0,0,+I155/$D155))</f>
        <v>0.11331934939679504</v>
      </c>
      <c r="L155" s="492">
        <f t="shared" si="22"/>
        <v>35418512.8</v>
      </c>
    </row>
    <row r="156" spans="1:12" ht="11.25" customHeight="1">
      <c r="A156" s="630" t="s">
        <v>77</v>
      </c>
      <c r="B156" s="804"/>
      <c r="C156" s="805"/>
      <c r="D156" s="804"/>
      <c r="E156" s="805"/>
      <c r="F156" s="804"/>
      <c r="G156" s="805"/>
      <c r="H156" s="185">
        <f t="shared" si="23"/>
        <v>0</v>
      </c>
      <c r="I156" s="804"/>
      <c r="J156" s="805"/>
      <c r="K156" s="185">
        <f t="shared" si="26"/>
        <v>0</v>
      </c>
      <c r="L156" s="492">
        <f t="shared" si="22"/>
        <v>0</v>
      </c>
    </row>
    <row r="157" spans="1:12" ht="11.25" customHeight="1">
      <c r="A157" s="630" t="s">
        <v>78</v>
      </c>
      <c r="B157" s="804"/>
      <c r="C157" s="805"/>
      <c r="D157" s="804"/>
      <c r="E157" s="805"/>
      <c r="F157" s="804"/>
      <c r="G157" s="805"/>
      <c r="H157" s="185">
        <f t="shared" si="23"/>
        <v>0</v>
      </c>
      <c r="I157" s="804"/>
      <c r="J157" s="805"/>
      <c r="K157" s="185">
        <f t="shared" si="26"/>
        <v>0</v>
      </c>
      <c r="L157" s="492">
        <f t="shared" si="22"/>
        <v>0</v>
      </c>
    </row>
    <row r="158" spans="1:12" ht="11.25" customHeight="1">
      <c r="A158" s="630" t="s">
        <v>79</v>
      </c>
      <c r="B158" s="804"/>
      <c r="C158" s="805"/>
      <c r="D158" s="804"/>
      <c r="E158" s="805"/>
      <c r="F158" s="804"/>
      <c r="G158" s="805"/>
      <c r="H158" s="185">
        <f t="shared" si="23"/>
        <v>0</v>
      </c>
      <c r="I158" s="804"/>
      <c r="J158" s="805"/>
      <c r="K158" s="185">
        <f t="shared" si="26"/>
        <v>0</v>
      </c>
      <c r="L158" s="492">
        <f t="shared" si="22"/>
        <v>0</v>
      </c>
    </row>
    <row r="159" spans="1:12" ht="11.25" customHeight="1">
      <c r="A159" s="630" t="s">
        <v>80</v>
      </c>
      <c r="B159" s="804">
        <v>736632.5</v>
      </c>
      <c r="C159" s="805"/>
      <c r="D159" s="804">
        <v>736632.5</v>
      </c>
      <c r="E159" s="805"/>
      <c r="F159" s="804"/>
      <c r="G159" s="805"/>
      <c r="H159" s="185">
        <f t="shared" si="23"/>
        <v>0</v>
      </c>
      <c r="I159" s="804"/>
      <c r="J159" s="805"/>
      <c r="K159" s="185">
        <f t="shared" si="26"/>
        <v>0</v>
      </c>
      <c r="L159" s="492">
        <f t="shared" si="22"/>
        <v>736632.5</v>
      </c>
    </row>
    <row r="160" spans="1:12" ht="11.25" customHeight="1">
      <c r="A160" s="685" t="s">
        <v>81</v>
      </c>
      <c r="B160" s="804"/>
      <c r="C160" s="805"/>
      <c r="D160" s="804"/>
      <c r="E160" s="805"/>
      <c r="F160" s="804"/>
      <c r="G160" s="805"/>
      <c r="H160" s="185">
        <f t="shared" si="23"/>
        <v>0</v>
      </c>
      <c r="I160" s="804"/>
      <c r="J160" s="805"/>
      <c r="K160" s="185">
        <f t="shared" si="26"/>
        <v>0</v>
      </c>
      <c r="L160" s="492">
        <f t="shared" si="22"/>
        <v>0</v>
      </c>
    </row>
    <row r="161" spans="1:12" ht="11.25" customHeight="1">
      <c r="A161" s="628" t="s">
        <v>82</v>
      </c>
      <c r="B161" s="802">
        <f>SUM(B162:C166)</f>
        <v>28592.449999999997</v>
      </c>
      <c r="C161" s="803"/>
      <c r="D161" s="802">
        <f>SUM(D162:E166)</f>
        <v>28592.449999999997</v>
      </c>
      <c r="E161" s="803"/>
      <c r="F161" s="802">
        <f>SUM(F162:G166)</f>
        <v>0</v>
      </c>
      <c r="G161" s="803"/>
      <c r="H161" s="681">
        <f t="shared" si="23"/>
        <v>0</v>
      </c>
      <c r="I161" s="802">
        <f>SUM(I162:J166)</f>
        <v>0</v>
      </c>
      <c r="J161" s="803"/>
      <c r="K161" s="681">
        <f aca="true" t="shared" si="27" ref="K161:K175">IF($D161="",0,IF($D161=0,0,+I161/$D161))</f>
        <v>0</v>
      </c>
      <c r="L161" s="645">
        <f t="shared" si="22"/>
        <v>28592.449999999997</v>
      </c>
    </row>
    <row r="162" spans="1:12" ht="11.25" customHeight="1">
      <c r="A162" s="630" t="s">
        <v>83</v>
      </c>
      <c r="B162" s="804"/>
      <c r="C162" s="805"/>
      <c r="D162" s="804"/>
      <c r="E162" s="805"/>
      <c r="F162" s="804"/>
      <c r="G162" s="805"/>
      <c r="H162" s="185">
        <f t="shared" si="23"/>
        <v>0</v>
      </c>
      <c r="I162" s="804"/>
      <c r="J162" s="805"/>
      <c r="K162" s="185">
        <f t="shared" si="27"/>
        <v>0</v>
      </c>
      <c r="L162" s="492">
        <f t="shared" si="22"/>
        <v>0</v>
      </c>
    </row>
    <row r="163" spans="1:12" ht="11.25" customHeight="1">
      <c r="A163" s="630" t="s">
        <v>84</v>
      </c>
      <c r="B163" s="804">
        <v>19010.94</v>
      </c>
      <c r="C163" s="805"/>
      <c r="D163" s="804">
        <v>19010.94</v>
      </c>
      <c r="E163" s="805"/>
      <c r="F163" s="804"/>
      <c r="G163" s="805"/>
      <c r="H163" s="185">
        <f t="shared" si="23"/>
        <v>0</v>
      </c>
      <c r="I163" s="804"/>
      <c r="J163" s="805"/>
      <c r="K163" s="185">
        <f t="shared" si="27"/>
        <v>0</v>
      </c>
      <c r="L163" s="492">
        <f t="shared" si="22"/>
        <v>19010.94</v>
      </c>
    </row>
    <row r="164" spans="1:12" ht="11.25" customHeight="1">
      <c r="A164" s="630" t="s">
        <v>85</v>
      </c>
      <c r="B164" s="804">
        <v>9581.51</v>
      </c>
      <c r="C164" s="805"/>
      <c r="D164" s="804">
        <v>9581.51</v>
      </c>
      <c r="E164" s="805"/>
      <c r="F164" s="804"/>
      <c r="G164" s="805"/>
      <c r="H164" s="185">
        <f t="shared" si="23"/>
        <v>0</v>
      </c>
      <c r="I164" s="804"/>
      <c r="J164" s="805"/>
      <c r="K164" s="185">
        <f t="shared" si="27"/>
        <v>0</v>
      </c>
      <c r="L164" s="492">
        <f t="shared" si="22"/>
        <v>9581.51</v>
      </c>
    </row>
    <row r="165" spans="1:12" ht="24" customHeight="1">
      <c r="A165" s="683" t="s">
        <v>86</v>
      </c>
      <c r="B165" s="806"/>
      <c r="C165" s="807"/>
      <c r="D165" s="806"/>
      <c r="E165" s="807"/>
      <c r="F165" s="806"/>
      <c r="G165" s="807"/>
      <c r="H165" s="464">
        <f t="shared" si="23"/>
        <v>0</v>
      </c>
      <c r="I165" s="806"/>
      <c r="J165" s="807"/>
      <c r="K165" s="464">
        <f t="shared" si="27"/>
        <v>0</v>
      </c>
      <c r="L165" s="520">
        <f t="shared" si="22"/>
        <v>0</v>
      </c>
    </row>
    <row r="166" spans="1:12" ht="11.25" customHeight="1">
      <c r="A166" s="685" t="s">
        <v>87</v>
      </c>
      <c r="B166" s="804"/>
      <c r="C166" s="805"/>
      <c r="D166" s="804"/>
      <c r="E166" s="805"/>
      <c r="F166" s="804"/>
      <c r="G166" s="805"/>
      <c r="H166" s="185">
        <f t="shared" si="23"/>
        <v>0</v>
      </c>
      <c r="I166" s="804"/>
      <c r="J166" s="805"/>
      <c r="K166" s="185">
        <f t="shared" si="27"/>
        <v>0</v>
      </c>
      <c r="L166" s="492">
        <f t="shared" si="22"/>
        <v>0</v>
      </c>
    </row>
    <row r="167" spans="1:12" ht="11.25" customHeight="1">
      <c r="A167" s="679" t="s">
        <v>88</v>
      </c>
      <c r="B167" s="800">
        <f>+B168+B171+B174+B175+B183</f>
        <v>-4500341.870000001</v>
      </c>
      <c r="C167" s="801"/>
      <c r="D167" s="800">
        <f>+D168+D171+D174+D175+D183</f>
        <v>-4500341.870000001</v>
      </c>
      <c r="E167" s="801"/>
      <c r="F167" s="800">
        <f>+F168+F171+F174+F175+F183</f>
        <v>0</v>
      </c>
      <c r="G167" s="801"/>
      <c r="H167" s="680">
        <f t="shared" si="23"/>
        <v>0</v>
      </c>
      <c r="I167" s="800">
        <f>+I168+I171+I174+I175+I183</f>
        <v>0</v>
      </c>
      <c r="J167" s="801"/>
      <c r="K167" s="680">
        <f t="shared" si="27"/>
        <v>0</v>
      </c>
      <c r="L167" s="690">
        <f t="shared" si="22"/>
        <v>-4500341.870000001</v>
      </c>
    </row>
    <row r="168" spans="1:12" ht="11.25" customHeight="1">
      <c r="A168" s="628" t="s">
        <v>89</v>
      </c>
      <c r="B168" s="802">
        <f>SUM(B169:C170)</f>
        <v>0</v>
      </c>
      <c r="C168" s="803"/>
      <c r="D168" s="802">
        <f>SUM(D169:E170)</f>
        <v>0</v>
      </c>
      <c r="E168" s="803"/>
      <c r="F168" s="802">
        <f>SUM(F169:G170)</f>
        <v>0</v>
      </c>
      <c r="G168" s="803"/>
      <c r="H168" s="681">
        <f t="shared" si="23"/>
        <v>0</v>
      </c>
      <c r="I168" s="802">
        <f>SUM(I169:J170)</f>
        <v>0</v>
      </c>
      <c r="J168" s="803"/>
      <c r="K168" s="681">
        <f t="shared" si="27"/>
        <v>0</v>
      </c>
      <c r="L168" s="645">
        <f t="shared" si="22"/>
        <v>0</v>
      </c>
    </row>
    <row r="169" spans="1:12" ht="11.25" customHeight="1">
      <c r="A169" s="630" t="s">
        <v>90</v>
      </c>
      <c r="B169" s="804"/>
      <c r="C169" s="805"/>
      <c r="D169" s="804"/>
      <c r="E169" s="805"/>
      <c r="F169" s="804"/>
      <c r="G169" s="805"/>
      <c r="H169" s="185">
        <f t="shared" si="23"/>
        <v>0</v>
      </c>
      <c r="I169" s="804"/>
      <c r="J169" s="805"/>
      <c r="K169" s="185">
        <f t="shared" si="27"/>
        <v>0</v>
      </c>
      <c r="L169" s="492">
        <f t="shared" si="22"/>
        <v>0</v>
      </c>
    </row>
    <row r="170" spans="1:12" ht="11.25" customHeight="1">
      <c r="A170" s="630" t="s">
        <v>91</v>
      </c>
      <c r="B170" s="804"/>
      <c r="C170" s="805"/>
      <c r="D170" s="804"/>
      <c r="E170" s="805"/>
      <c r="F170" s="804"/>
      <c r="G170" s="805"/>
      <c r="H170" s="185">
        <f t="shared" si="23"/>
        <v>0</v>
      </c>
      <c r="I170" s="804"/>
      <c r="J170" s="805"/>
      <c r="K170" s="185">
        <f t="shared" si="27"/>
        <v>0</v>
      </c>
      <c r="L170" s="492">
        <f t="shared" si="22"/>
        <v>0</v>
      </c>
    </row>
    <row r="171" spans="1:12" ht="11.25" customHeight="1">
      <c r="A171" s="628" t="s">
        <v>92</v>
      </c>
      <c r="B171" s="802">
        <f>SUM(B172:C173)</f>
        <v>0</v>
      </c>
      <c r="C171" s="803"/>
      <c r="D171" s="802">
        <f>SUM(D172:E173)</f>
        <v>0</v>
      </c>
      <c r="E171" s="803"/>
      <c r="F171" s="802">
        <f>SUM(F172:G173)</f>
        <v>0</v>
      </c>
      <c r="G171" s="803"/>
      <c r="H171" s="681">
        <f t="shared" si="23"/>
        <v>0</v>
      </c>
      <c r="I171" s="802">
        <f>SUM(I172:J173)</f>
        <v>0</v>
      </c>
      <c r="J171" s="803"/>
      <c r="K171" s="681">
        <f t="shared" si="27"/>
        <v>0</v>
      </c>
      <c r="L171" s="645">
        <f t="shared" si="22"/>
        <v>0</v>
      </c>
    </row>
    <row r="172" spans="1:12" ht="11.25" customHeight="1">
      <c r="A172" s="630" t="s">
        <v>93</v>
      </c>
      <c r="B172" s="804"/>
      <c r="C172" s="805"/>
      <c r="D172" s="804"/>
      <c r="E172" s="805"/>
      <c r="F172" s="804"/>
      <c r="G172" s="805"/>
      <c r="H172" s="185">
        <f t="shared" si="23"/>
        <v>0</v>
      </c>
      <c r="I172" s="804"/>
      <c r="J172" s="805"/>
      <c r="K172" s="185">
        <f t="shared" si="27"/>
        <v>0</v>
      </c>
      <c r="L172" s="492">
        <f t="shared" si="22"/>
        <v>0</v>
      </c>
    </row>
    <row r="173" spans="1:12" ht="11.25" customHeight="1">
      <c r="A173" s="630" t="s">
        <v>94</v>
      </c>
      <c r="B173" s="804"/>
      <c r="C173" s="805"/>
      <c r="D173" s="804"/>
      <c r="E173" s="805"/>
      <c r="F173" s="804"/>
      <c r="G173" s="805"/>
      <c r="H173" s="185">
        <f t="shared" si="23"/>
        <v>0</v>
      </c>
      <c r="I173" s="804"/>
      <c r="J173" s="805"/>
      <c r="K173" s="185">
        <f t="shared" si="27"/>
        <v>0</v>
      </c>
      <c r="L173" s="492">
        <f t="shared" si="22"/>
        <v>0</v>
      </c>
    </row>
    <row r="174" spans="1:12" ht="11.25" customHeight="1">
      <c r="A174" s="628" t="s">
        <v>95</v>
      </c>
      <c r="B174" s="802"/>
      <c r="C174" s="803"/>
      <c r="D174" s="802"/>
      <c r="E174" s="803"/>
      <c r="F174" s="802"/>
      <c r="G174" s="803"/>
      <c r="H174" s="681">
        <f t="shared" si="23"/>
        <v>0</v>
      </c>
      <c r="I174" s="802"/>
      <c r="J174" s="803"/>
      <c r="K174" s="681">
        <f t="shared" si="27"/>
        <v>0</v>
      </c>
      <c r="L174" s="645">
        <f t="shared" si="22"/>
        <v>0</v>
      </c>
    </row>
    <row r="175" spans="1:12" ht="11.25" customHeight="1">
      <c r="A175" s="628" t="s">
        <v>96</v>
      </c>
      <c r="B175" s="802">
        <f>SUM(B176:C182)</f>
        <v>1870901.0699999998</v>
      </c>
      <c r="C175" s="803"/>
      <c r="D175" s="802">
        <f>SUM(D176:E182)</f>
        <v>1870901.0699999998</v>
      </c>
      <c r="E175" s="803"/>
      <c r="F175" s="802">
        <f>SUM(F176:G182)</f>
        <v>0</v>
      </c>
      <c r="G175" s="803"/>
      <c r="H175" s="681">
        <f t="shared" si="23"/>
        <v>0</v>
      </c>
      <c r="I175" s="802">
        <f>SUM(I176:J182)</f>
        <v>0</v>
      </c>
      <c r="J175" s="803"/>
      <c r="K175" s="681">
        <f t="shared" si="27"/>
        <v>0</v>
      </c>
      <c r="L175" s="645">
        <f t="shared" si="22"/>
        <v>1870901.0699999998</v>
      </c>
    </row>
    <row r="176" spans="1:12" ht="11.25" customHeight="1">
      <c r="A176" s="630" t="s">
        <v>76</v>
      </c>
      <c r="B176" s="804">
        <v>476033.87</v>
      </c>
      <c r="C176" s="805"/>
      <c r="D176" s="804">
        <v>476033.87</v>
      </c>
      <c r="E176" s="805"/>
      <c r="F176" s="804"/>
      <c r="G176" s="805"/>
      <c r="H176" s="185">
        <f t="shared" si="23"/>
        <v>0</v>
      </c>
      <c r="I176" s="804"/>
      <c r="J176" s="805"/>
      <c r="K176" s="185">
        <f aca="true" t="shared" si="28" ref="K176:K185">IF($D176="",0,IF($D176=0,0,+I176/$D176))</f>
        <v>0</v>
      </c>
      <c r="L176" s="492">
        <f t="shared" si="22"/>
        <v>476033.87</v>
      </c>
    </row>
    <row r="177" spans="1:12" ht="11.25" customHeight="1">
      <c r="A177" s="630" t="s">
        <v>77</v>
      </c>
      <c r="B177" s="804"/>
      <c r="C177" s="805"/>
      <c r="D177" s="804"/>
      <c r="E177" s="805"/>
      <c r="F177" s="804"/>
      <c r="G177" s="805"/>
      <c r="H177" s="185">
        <f t="shared" si="23"/>
        <v>0</v>
      </c>
      <c r="I177" s="804"/>
      <c r="J177" s="805"/>
      <c r="K177" s="185">
        <f t="shared" si="28"/>
        <v>0</v>
      </c>
      <c r="L177" s="492">
        <f t="shared" si="22"/>
        <v>0</v>
      </c>
    </row>
    <row r="178" spans="1:12" ht="11.25" customHeight="1">
      <c r="A178" s="630" t="s">
        <v>78</v>
      </c>
      <c r="B178" s="804"/>
      <c r="C178" s="805"/>
      <c r="D178" s="804"/>
      <c r="E178" s="805"/>
      <c r="F178" s="804"/>
      <c r="G178" s="805"/>
      <c r="H178" s="185">
        <f t="shared" si="23"/>
        <v>0</v>
      </c>
      <c r="I178" s="804"/>
      <c r="J178" s="805"/>
      <c r="K178" s="185">
        <f t="shared" si="28"/>
        <v>0</v>
      </c>
      <c r="L178" s="492">
        <f t="shared" si="22"/>
        <v>0</v>
      </c>
    </row>
    <row r="179" spans="1:12" ht="11.25" customHeight="1">
      <c r="A179" s="630" t="s">
        <v>79</v>
      </c>
      <c r="B179" s="804"/>
      <c r="C179" s="805"/>
      <c r="D179" s="804"/>
      <c r="E179" s="805"/>
      <c r="F179" s="804"/>
      <c r="G179" s="805"/>
      <c r="H179" s="185">
        <f t="shared" si="23"/>
        <v>0</v>
      </c>
      <c r="I179" s="804"/>
      <c r="J179" s="805"/>
      <c r="K179" s="185">
        <f t="shared" si="28"/>
        <v>0</v>
      </c>
      <c r="L179" s="492">
        <f t="shared" si="22"/>
        <v>0</v>
      </c>
    </row>
    <row r="180" spans="1:12" ht="11.25" customHeight="1">
      <c r="A180" s="691" t="s">
        <v>97</v>
      </c>
      <c r="B180" s="804"/>
      <c r="C180" s="805"/>
      <c r="D180" s="804"/>
      <c r="E180" s="805"/>
      <c r="F180" s="804"/>
      <c r="G180" s="805"/>
      <c r="H180" s="185">
        <f t="shared" si="23"/>
        <v>0</v>
      </c>
      <c r="I180" s="804"/>
      <c r="J180" s="805"/>
      <c r="K180" s="185">
        <f t="shared" si="28"/>
        <v>0</v>
      </c>
      <c r="L180" s="492">
        <f t="shared" si="22"/>
        <v>0</v>
      </c>
    </row>
    <row r="181" spans="1:12" ht="11.25" customHeight="1">
      <c r="A181" s="691" t="s">
        <v>80</v>
      </c>
      <c r="B181" s="804">
        <v>1394867.2</v>
      </c>
      <c r="C181" s="805"/>
      <c r="D181" s="804">
        <v>1394867.2</v>
      </c>
      <c r="E181" s="805"/>
      <c r="F181" s="804"/>
      <c r="G181" s="805"/>
      <c r="H181" s="185">
        <f t="shared" si="23"/>
        <v>0</v>
      </c>
      <c r="I181" s="804"/>
      <c r="J181" s="805"/>
      <c r="K181" s="185">
        <f t="shared" si="28"/>
        <v>0</v>
      </c>
      <c r="L181" s="492">
        <f t="shared" si="22"/>
        <v>1394867.2</v>
      </c>
    </row>
    <row r="182" spans="1:12" ht="11.25" customHeight="1">
      <c r="A182" s="691" t="s">
        <v>81</v>
      </c>
      <c r="B182" s="804"/>
      <c r="C182" s="805"/>
      <c r="D182" s="804"/>
      <c r="E182" s="805"/>
      <c r="F182" s="804"/>
      <c r="G182" s="805"/>
      <c r="H182" s="185">
        <f t="shared" si="23"/>
        <v>0</v>
      </c>
      <c r="I182" s="804"/>
      <c r="J182" s="805"/>
      <c r="K182" s="185">
        <f t="shared" si="28"/>
        <v>0</v>
      </c>
      <c r="L182" s="492">
        <f t="shared" si="22"/>
        <v>0</v>
      </c>
    </row>
    <row r="183" spans="1:12" ht="11.25" customHeight="1">
      <c r="A183" s="628" t="s">
        <v>98</v>
      </c>
      <c r="B183" s="802">
        <f>SUM(B184:C188)</f>
        <v>-6371242.94</v>
      </c>
      <c r="C183" s="803"/>
      <c r="D183" s="802">
        <f>SUM(D184:E188)</f>
        <v>-6371242.94</v>
      </c>
      <c r="E183" s="803"/>
      <c r="F183" s="802">
        <f>SUM(F184:G188)</f>
        <v>0</v>
      </c>
      <c r="G183" s="803"/>
      <c r="H183" s="681">
        <f t="shared" si="23"/>
        <v>0</v>
      </c>
      <c r="I183" s="802">
        <f>SUM(I184:J188)</f>
        <v>0</v>
      </c>
      <c r="J183" s="803"/>
      <c r="K183" s="681">
        <f t="shared" si="28"/>
        <v>0</v>
      </c>
      <c r="L183" s="645">
        <f t="shared" si="22"/>
        <v>-6371242.94</v>
      </c>
    </row>
    <row r="184" spans="1:12" ht="11.25" customHeight="1">
      <c r="A184" s="630" t="s">
        <v>99</v>
      </c>
      <c r="B184" s="804"/>
      <c r="C184" s="805"/>
      <c r="D184" s="804"/>
      <c r="E184" s="805"/>
      <c r="F184" s="804"/>
      <c r="G184" s="805"/>
      <c r="H184" s="185">
        <f t="shared" si="23"/>
        <v>0</v>
      </c>
      <c r="I184" s="804"/>
      <c r="J184" s="805"/>
      <c r="K184" s="185">
        <f t="shared" si="28"/>
        <v>0</v>
      </c>
      <c r="L184" s="492">
        <f t="shared" si="22"/>
        <v>0</v>
      </c>
    </row>
    <row r="185" spans="1:12" ht="11.25" customHeight="1">
      <c r="A185" s="692" t="s">
        <v>160</v>
      </c>
      <c r="B185" s="804"/>
      <c r="C185" s="805"/>
      <c r="D185" s="804"/>
      <c r="E185" s="805"/>
      <c r="F185" s="804"/>
      <c r="G185" s="805"/>
      <c r="H185" s="185">
        <f t="shared" si="23"/>
        <v>0</v>
      </c>
      <c r="I185" s="804"/>
      <c r="J185" s="805"/>
      <c r="K185" s="185">
        <f t="shared" si="28"/>
        <v>0</v>
      </c>
      <c r="L185" s="492">
        <f t="shared" si="22"/>
        <v>0</v>
      </c>
    </row>
    <row r="186" spans="1:12" ht="25.5">
      <c r="A186" s="691" t="s">
        <v>101</v>
      </c>
      <c r="B186" s="402"/>
      <c r="C186" s="403"/>
      <c r="D186" s="402"/>
      <c r="E186" s="403"/>
      <c r="F186" s="402"/>
      <c r="G186" s="403"/>
      <c r="H186" s="185">
        <f t="shared" si="23"/>
        <v>0</v>
      </c>
      <c r="I186" s="402"/>
      <c r="J186" s="403"/>
      <c r="K186" s="185">
        <f>IF(D186="",0,IF(D186=0,0,I186/D186))</f>
        <v>0</v>
      </c>
      <c r="L186" s="492">
        <f t="shared" si="22"/>
        <v>0</v>
      </c>
    </row>
    <row r="187" spans="1:12" ht="25.5">
      <c r="A187" s="691" t="s">
        <v>102</v>
      </c>
      <c r="B187" s="402"/>
      <c r="C187" s="403"/>
      <c r="D187" s="402"/>
      <c r="E187" s="403"/>
      <c r="F187" s="402"/>
      <c r="G187" s="403"/>
      <c r="H187" s="185">
        <f t="shared" si="23"/>
        <v>0</v>
      </c>
      <c r="I187" s="402"/>
      <c r="J187" s="403"/>
      <c r="K187" s="185">
        <f>IF(D187="",0,IF(D187=0,0,I187/D187))</f>
        <v>0</v>
      </c>
      <c r="L187" s="492">
        <f t="shared" si="22"/>
        <v>0</v>
      </c>
    </row>
    <row r="188" spans="1:12" ht="15" customHeight="1">
      <c r="A188" s="745" t="s">
        <v>161</v>
      </c>
      <c r="B188" s="804">
        <v>-6371242.94</v>
      </c>
      <c r="C188" s="805"/>
      <c r="D188" s="804">
        <v>-6371242.94</v>
      </c>
      <c r="E188" s="805"/>
      <c r="F188" s="844"/>
      <c r="G188" s="845"/>
      <c r="H188" s="191">
        <f t="shared" si="23"/>
        <v>0</v>
      </c>
      <c r="I188" s="844"/>
      <c r="J188" s="845"/>
      <c r="K188" s="191">
        <f>IF($D188="",0,IF($D188=0,0,+I188/$D188))</f>
        <v>0</v>
      </c>
      <c r="L188" s="749">
        <f t="shared" si="22"/>
        <v>-6371242.94</v>
      </c>
    </row>
    <row r="189" spans="1:12" ht="11.25" customHeight="1">
      <c r="A189" s="495"/>
      <c r="B189" s="495"/>
      <c r="C189" s="495"/>
      <c r="D189" s="495"/>
      <c r="E189" s="495"/>
      <c r="F189" s="495"/>
      <c r="G189" s="495"/>
      <c r="H189" s="495"/>
      <c r="I189" s="495"/>
      <c r="J189" s="495"/>
      <c r="K189" s="495"/>
      <c r="L189" s="495"/>
    </row>
    <row r="190" spans="1:12" ht="11.25" customHeight="1">
      <c r="A190" s="849" t="s">
        <v>162</v>
      </c>
      <c r="B190" s="833" t="s">
        <v>119</v>
      </c>
      <c r="C190" s="833" t="s">
        <v>120</v>
      </c>
      <c r="D190" s="852" t="s">
        <v>121</v>
      </c>
      <c r="E190" s="853"/>
      <c r="F190" s="836" t="s">
        <v>37</v>
      </c>
      <c r="G190" s="824" t="s">
        <v>122</v>
      </c>
      <c r="H190" s="825"/>
      <c r="I190" s="836" t="s">
        <v>37</v>
      </c>
      <c r="J190" s="833" t="s">
        <v>123</v>
      </c>
      <c r="K190" s="862" t="s">
        <v>163</v>
      </c>
      <c r="L190" s="863"/>
    </row>
    <row r="191" spans="1:12" ht="26.25" customHeight="1">
      <c r="A191" s="850"/>
      <c r="B191" s="834"/>
      <c r="C191" s="834"/>
      <c r="D191" s="833" t="s">
        <v>38</v>
      </c>
      <c r="E191" s="746" t="s">
        <v>164</v>
      </c>
      <c r="F191" s="837"/>
      <c r="G191" s="833" t="s">
        <v>38</v>
      </c>
      <c r="H191" s="746" t="s">
        <v>164</v>
      </c>
      <c r="I191" s="837"/>
      <c r="J191" s="834"/>
      <c r="K191" s="864"/>
      <c r="L191" s="865"/>
    </row>
    <row r="192" spans="1:12" ht="15.75" customHeight="1">
      <c r="A192" s="851"/>
      <c r="B192" s="747" t="s">
        <v>126</v>
      </c>
      <c r="C192" s="747" t="s">
        <v>127</v>
      </c>
      <c r="D192" s="835"/>
      <c r="E192" s="747" t="s">
        <v>128</v>
      </c>
      <c r="F192" s="748" t="s">
        <v>129</v>
      </c>
      <c r="G192" s="835"/>
      <c r="H192" s="711" t="s">
        <v>130</v>
      </c>
      <c r="I192" s="748" t="s">
        <v>131</v>
      </c>
      <c r="J192" s="711" t="s">
        <v>132</v>
      </c>
      <c r="K192" s="826" t="s">
        <v>133</v>
      </c>
      <c r="L192" s="827"/>
    </row>
    <row r="193" spans="1:12" ht="11.25" customHeight="1">
      <c r="A193" s="722" t="s">
        <v>144</v>
      </c>
      <c r="B193" s="750">
        <f aca="true" t="shared" si="29" ref="B193:H193">+B194+B198</f>
        <v>36602429.15</v>
      </c>
      <c r="C193" s="750">
        <f t="shared" si="29"/>
        <v>36779616.480000004</v>
      </c>
      <c r="D193" s="750">
        <f t="shared" si="29"/>
        <v>2883208.74</v>
      </c>
      <c r="E193" s="750">
        <f t="shared" si="29"/>
        <v>3877446.84</v>
      </c>
      <c r="F193" s="750">
        <f>+C193-E193</f>
        <v>32902169.640000004</v>
      </c>
      <c r="G193" s="750">
        <f t="shared" si="29"/>
        <v>1452806.6300000001</v>
      </c>
      <c r="H193" s="750">
        <f t="shared" si="29"/>
        <v>2447044.73</v>
      </c>
      <c r="I193" s="750">
        <f aca="true" t="shared" si="30" ref="I193:I201">+C193-H193</f>
        <v>34332571.75000001</v>
      </c>
      <c r="J193" s="750">
        <f>+J194+J198</f>
        <v>0</v>
      </c>
      <c r="K193" s="846">
        <f>+K194+K198</f>
        <v>0</v>
      </c>
      <c r="L193" s="847"/>
    </row>
    <row r="194" spans="1:12" ht="11.25" customHeight="1">
      <c r="A194" s="751" t="s">
        <v>135</v>
      </c>
      <c r="B194" s="645">
        <f aca="true" t="shared" si="31" ref="B194:H194">SUM(B195:B197)</f>
        <v>30312573.339999996</v>
      </c>
      <c r="C194" s="645">
        <f t="shared" si="31"/>
        <v>30489760.67</v>
      </c>
      <c r="D194" s="645">
        <f t="shared" si="31"/>
        <v>2883208.74</v>
      </c>
      <c r="E194" s="645">
        <f t="shared" si="31"/>
        <v>3877446.84</v>
      </c>
      <c r="F194" s="645">
        <f>+C194-E194</f>
        <v>26612313.830000002</v>
      </c>
      <c r="G194" s="645">
        <f t="shared" si="31"/>
        <v>1452806.6300000001</v>
      </c>
      <c r="H194" s="645">
        <f t="shared" si="31"/>
        <v>2447044.73</v>
      </c>
      <c r="I194" s="645">
        <f t="shared" si="30"/>
        <v>28042715.94</v>
      </c>
      <c r="J194" s="645">
        <f>SUM(J195:J197)</f>
        <v>0</v>
      </c>
      <c r="K194" s="848">
        <f>SUM(K195:K197)</f>
        <v>0</v>
      </c>
      <c r="L194" s="848"/>
    </row>
    <row r="195" spans="1:12" ht="11.25" customHeight="1">
      <c r="A195" s="495" t="s">
        <v>136</v>
      </c>
      <c r="B195" s="372">
        <v>17559991.08</v>
      </c>
      <c r="C195" s="372">
        <v>17611678.1</v>
      </c>
      <c r="D195" s="372">
        <v>1439662.85</v>
      </c>
      <c r="E195" s="372">
        <v>2409466.42</v>
      </c>
      <c r="F195" s="369">
        <f>+C195-E195</f>
        <v>15202211.680000002</v>
      </c>
      <c r="G195" s="612">
        <v>1439662.85</v>
      </c>
      <c r="H195" s="612">
        <v>2409466.42</v>
      </c>
      <c r="I195" s="492">
        <f t="shared" si="30"/>
        <v>15202211.680000002</v>
      </c>
      <c r="J195" s="372"/>
      <c r="K195" s="804"/>
      <c r="L195" s="805"/>
    </row>
    <row r="196" spans="1:12" ht="11.25" customHeight="1">
      <c r="A196" s="495" t="s">
        <v>137</v>
      </c>
      <c r="B196" s="372"/>
      <c r="C196" s="372"/>
      <c r="D196" s="372"/>
      <c r="E196" s="372"/>
      <c r="F196" s="369">
        <f aca="true" t="shared" si="32" ref="F196:F201">+C196-E196</f>
        <v>0</v>
      </c>
      <c r="G196" s="612"/>
      <c r="H196" s="612"/>
      <c r="I196" s="492">
        <f t="shared" si="30"/>
        <v>0</v>
      </c>
      <c r="J196" s="372"/>
      <c r="K196" s="804"/>
      <c r="L196" s="805"/>
    </row>
    <row r="197" spans="1:12" ht="11.25" customHeight="1">
      <c r="A197" s="495" t="s">
        <v>138</v>
      </c>
      <c r="B197" s="372">
        <v>12752582.26</v>
      </c>
      <c r="C197" s="372">
        <v>12878082.57</v>
      </c>
      <c r="D197" s="372">
        <v>1443545.89</v>
      </c>
      <c r="E197" s="372">
        <v>1467980.42</v>
      </c>
      <c r="F197" s="369">
        <f t="shared" si="32"/>
        <v>11410102.15</v>
      </c>
      <c r="G197" s="612">
        <v>13143.78</v>
      </c>
      <c r="H197" s="612">
        <v>37578.31</v>
      </c>
      <c r="I197" s="492">
        <f t="shared" si="30"/>
        <v>12840504.26</v>
      </c>
      <c r="J197" s="372"/>
      <c r="K197" s="804"/>
      <c r="L197" s="805"/>
    </row>
    <row r="198" spans="1:12" ht="11.25" customHeight="1">
      <c r="A198" s="751" t="s">
        <v>139</v>
      </c>
      <c r="B198" s="645">
        <f aca="true" t="shared" si="33" ref="B198:H198">SUM(B199:B201)</f>
        <v>6289855.81</v>
      </c>
      <c r="C198" s="645">
        <f t="shared" si="33"/>
        <v>6289855.81</v>
      </c>
      <c r="D198" s="645">
        <f t="shared" si="33"/>
        <v>0</v>
      </c>
      <c r="E198" s="645">
        <f t="shared" si="33"/>
        <v>0</v>
      </c>
      <c r="F198" s="645">
        <f t="shared" si="32"/>
        <v>6289855.81</v>
      </c>
      <c r="G198" s="645">
        <f t="shared" si="33"/>
        <v>0</v>
      </c>
      <c r="H198" s="645">
        <f t="shared" si="33"/>
        <v>0</v>
      </c>
      <c r="I198" s="645">
        <f t="shared" si="30"/>
        <v>6289855.81</v>
      </c>
      <c r="J198" s="645">
        <f>SUM(J199:J201)</f>
        <v>0</v>
      </c>
      <c r="K198" s="848">
        <f>SUM(K199:K201)</f>
        <v>0</v>
      </c>
      <c r="L198" s="848"/>
    </row>
    <row r="199" spans="1:12" ht="11.25" customHeight="1">
      <c r="A199" s="557" t="s">
        <v>140</v>
      </c>
      <c r="B199" s="372">
        <v>6251238.81</v>
      </c>
      <c r="C199" s="372">
        <v>6251238.81</v>
      </c>
      <c r="D199" s="373"/>
      <c r="E199" s="372"/>
      <c r="F199" s="369">
        <f t="shared" si="32"/>
        <v>6251238.81</v>
      </c>
      <c r="G199" s="372"/>
      <c r="H199" s="373"/>
      <c r="I199" s="492">
        <f t="shared" si="30"/>
        <v>6251238.81</v>
      </c>
      <c r="J199" s="372"/>
      <c r="K199" s="804"/>
      <c r="L199" s="805"/>
    </row>
    <row r="200" spans="1:12" ht="11.25" customHeight="1">
      <c r="A200" s="557" t="s">
        <v>141</v>
      </c>
      <c r="B200" s="372">
        <v>38617</v>
      </c>
      <c r="C200" s="372">
        <v>38617</v>
      </c>
      <c r="D200" s="373"/>
      <c r="E200" s="372"/>
      <c r="F200" s="369">
        <f t="shared" si="32"/>
        <v>38617</v>
      </c>
      <c r="G200" s="372"/>
      <c r="H200" s="373"/>
      <c r="I200" s="492">
        <f t="shared" si="30"/>
        <v>38617</v>
      </c>
      <c r="J200" s="372"/>
      <c r="K200" s="804"/>
      <c r="L200" s="805"/>
    </row>
    <row r="201" spans="1:12" ht="11.25" customHeight="1">
      <c r="A201" s="752" t="s">
        <v>142</v>
      </c>
      <c r="B201" s="753"/>
      <c r="C201" s="754"/>
      <c r="D201" s="753"/>
      <c r="E201" s="754"/>
      <c r="F201" s="749">
        <f t="shared" si="32"/>
        <v>0</v>
      </c>
      <c r="G201" s="754"/>
      <c r="H201" s="753"/>
      <c r="I201" s="749">
        <f t="shared" si="30"/>
        <v>0</v>
      </c>
      <c r="J201" s="754"/>
      <c r="K201" s="844"/>
      <c r="L201" s="845"/>
    </row>
  </sheetData>
  <sheetProtection password="C236" sheet="1" objects="1" formatColumns="0" selectLockedCells="1"/>
  <mergeCells count="633">
    <mergeCell ref="J93:J95"/>
    <mergeCell ref="J190:J191"/>
    <mergeCell ref="L10:L11"/>
    <mergeCell ref="B10:C12"/>
    <mergeCell ref="D10:E11"/>
    <mergeCell ref="K93:L95"/>
    <mergeCell ref="B123:C124"/>
    <mergeCell ref="D123:E124"/>
    <mergeCell ref="K190:L191"/>
    <mergeCell ref="G190:H190"/>
    <mergeCell ref="A190:A192"/>
    <mergeCell ref="B93:B95"/>
    <mergeCell ref="B190:B191"/>
    <mergeCell ref="C93:C95"/>
    <mergeCell ref="C190:C191"/>
    <mergeCell ref="D94:D96"/>
    <mergeCell ref="D191:D192"/>
    <mergeCell ref="D190:E190"/>
    <mergeCell ref="B185:C185"/>
    <mergeCell ref="D185:E185"/>
    <mergeCell ref="K196:L196"/>
    <mergeCell ref="K197:L197"/>
    <mergeCell ref="K198:L198"/>
    <mergeCell ref="K199:L199"/>
    <mergeCell ref="K200:L200"/>
    <mergeCell ref="K201:L201"/>
    <mergeCell ref="K192:L192"/>
    <mergeCell ref="K193:L193"/>
    <mergeCell ref="K194:L194"/>
    <mergeCell ref="K195:L195"/>
    <mergeCell ref="F190:F191"/>
    <mergeCell ref="G191:G192"/>
    <mergeCell ref="I190:I191"/>
    <mergeCell ref="F185:G185"/>
    <mergeCell ref="I185:J185"/>
    <mergeCell ref="B188:C188"/>
    <mergeCell ref="D188:E188"/>
    <mergeCell ref="F188:G188"/>
    <mergeCell ref="I188:J188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D125:E125"/>
    <mergeCell ref="F125:G125"/>
    <mergeCell ref="I125:J125"/>
    <mergeCell ref="B126:C126"/>
    <mergeCell ref="D126:E126"/>
    <mergeCell ref="F126:G126"/>
    <mergeCell ref="I126:J126"/>
    <mergeCell ref="K118:L118"/>
    <mergeCell ref="K119:L119"/>
    <mergeCell ref="A120:K120"/>
    <mergeCell ref="A121:C121"/>
    <mergeCell ref="F123:K123"/>
    <mergeCell ref="F124:G124"/>
    <mergeCell ref="I124:J124"/>
    <mergeCell ref="K112:L112"/>
    <mergeCell ref="K113:L113"/>
    <mergeCell ref="K114:L114"/>
    <mergeCell ref="K115:L115"/>
    <mergeCell ref="K116:L116"/>
    <mergeCell ref="K117:L117"/>
    <mergeCell ref="K106:L106"/>
    <mergeCell ref="K107:L107"/>
    <mergeCell ref="K108:L108"/>
    <mergeCell ref="K109:L109"/>
    <mergeCell ref="K110:L110"/>
    <mergeCell ref="K111:L111"/>
    <mergeCell ref="K100:L100"/>
    <mergeCell ref="K101:L101"/>
    <mergeCell ref="K102:L102"/>
    <mergeCell ref="K103:L103"/>
    <mergeCell ref="K104:L104"/>
    <mergeCell ref="K105:L105"/>
    <mergeCell ref="D93:E93"/>
    <mergeCell ref="G93:H93"/>
    <mergeCell ref="K96:L96"/>
    <mergeCell ref="K97:L97"/>
    <mergeCell ref="K98:L98"/>
    <mergeCell ref="K99:L99"/>
    <mergeCell ref="E94:E95"/>
    <mergeCell ref="G94:G96"/>
    <mergeCell ref="H94:H95"/>
    <mergeCell ref="I93:I95"/>
    <mergeCell ref="B90:C90"/>
    <mergeCell ref="D90:E90"/>
    <mergeCell ref="F90:G90"/>
    <mergeCell ref="I90:J90"/>
    <mergeCell ref="B91:C91"/>
    <mergeCell ref="D91:E91"/>
    <mergeCell ref="F91:G91"/>
    <mergeCell ref="I91:J91"/>
    <mergeCell ref="B88:C88"/>
    <mergeCell ref="D88:E88"/>
    <mergeCell ref="F88:G88"/>
    <mergeCell ref="I88:J88"/>
    <mergeCell ref="B89:C89"/>
    <mergeCell ref="D89:E89"/>
    <mergeCell ref="F89:G89"/>
    <mergeCell ref="I89:J89"/>
    <mergeCell ref="B86:C86"/>
    <mergeCell ref="D86:E86"/>
    <mergeCell ref="F86:G86"/>
    <mergeCell ref="I86:J86"/>
    <mergeCell ref="B87:C87"/>
    <mergeCell ref="D87:E87"/>
    <mergeCell ref="F87:G87"/>
    <mergeCell ref="I87:J87"/>
    <mergeCell ref="B84:C84"/>
    <mergeCell ref="D84:E84"/>
    <mergeCell ref="F84:G84"/>
    <mergeCell ref="I84:J84"/>
    <mergeCell ref="B85:C85"/>
    <mergeCell ref="D85:E85"/>
    <mergeCell ref="F85:G85"/>
    <mergeCell ref="I85:J85"/>
    <mergeCell ref="B82:C82"/>
    <mergeCell ref="D82:E82"/>
    <mergeCell ref="F82:G82"/>
    <mergeCell ref="I82:J82"/>
    <mergeCell ref="B83:C83"/>
    <mergeCell ref="D83:E83"/>
    <mergeCell ref="F83:G83"/>
    <mergeCell ref="I83:J83"/>
    <mergeCell ref="B80:C80"/>
    <mergeCell ref="D80:E80"/>
    <mergeCell ref="F80:G80"/>
    <mergeCell ref="I80:J80"/>
    <mergeCell ref="B81:C81"/>
    <mergeCell ref="D81:E81"/>
    <mergeCell ref="F81:G81"/>
    <mergeCell ref="I81:J81"/>
    <mergeCell ref="B78:C78"/>
    <mergeCell ref="D78:E78"/>
    <mergeCell ref="F78:G78"/>
    <mergeCell ref="I78:J78"/>
    <mergeCell ref="B79:C79"/>
    <mergeCell ref="D79:E79"/>
    <mergeCell ref="F79:G79"/>
    <mergeCell ref="I79:J79"/>
    <mergeCell ref="B76:C76"/>
    <mergeCell ref="D76:E76"/>
    <mergeCell ref="F76:G76"/>
    <mergeCell ref="I76:J76"/>
    <mergeCell ref="B77:C77"/>
    <mergeCell ref="D77:E77"/>
    <mergeCell ref="F77:G77"/>
    <mergeCell ref="I77:J77"/>
    <mergeCell ref="B72:C72"/>
    <mergeCell ref="D72:E72"/>
    <mergeCell ref="F72:G72"/>
    <mergeCell ref="I72:J72"/>
    <mergeCell ref="B75:C75"/>
    <mergeCell ref="D75:E75"/>
    <mergeCell ref="F75:G75"/>
    <mergeCell ref="I75:J75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F12:G12"/>
    <mergeCell ref="I12:J12"/>
    <mergeCell ref="B13:C13"/>
    <mergeCell ref="D13:E13"/>
    <mergeCell ref="F13:G13"/>
    <mergeCell ref="I13:J13"/>
    <mergeCell ref="A3:L3"/>
    <mergeCell ref="A4:K4"/>
    <mergeCell ref="A5:K5"/>
    <mergeCell ref="A6:K6"/>
    <mergeCell ref="A7:L7"/>
    <mergeCell ref="F10:K10"/>
    <mergeCell ref="A10:A12"/>
    <mergeCell ref="F11:G11"/>
    <mergeCell ref="I11:J11"/>
    <mergeCell ref="D12:E12"/>
  </mergeCells>
  <printOptions horizontalCentered="1" verticalCentered="1"/>
  <pageMargins left="0.39" right="0.39" top="0.39" bottom="0.2" header="0" footer="0"/>
  <pageSetup horizontalDpi="600" verticalDpi="600" orientation="landscape" paperSize="9" scale="70"/>
  <rowBreaks count="4" manualBreakCount="4">
    <brk id="53" max="255" man="1"/>
    <brk id="92" max="255" man="1"/>
    <brk id="122" max="255" man="1"/>
    <brk id="1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5"/>
  <sheetViews>
    <sheetView showGridLines="0" zoomScale="107" zoomScaleNormal="107" zoomScalePageLayoutView="0" workbookViewId="0" topLeftCell="A1">
      <selection activeCell="C179" sqref="C179"/>
    </sheetView>
  </sheetViews>
  <sheetFormatPr defaultColWidth="7.8515625" defaultRowHeight="11.25" customHeight="1"/>
  <cols>
    <col min="1" max="1" width="46.7109375" style="638" customWidth="1"/>
    <col min="2" max="2" width="14.00390625" style="638" customWidth="1"/>
    <col min="3" max="3" width="14.57421875" style="638" customWidth="1"/>
    <col min="4" max="4" width="12.00390625" style="638" customWidth="1"/>
    <col min="5" max="5" width="12.7109375" style="638" customWidth="1"/>
    <col min="6" max="6" width="9.7109375" style="638" customWidth="1"/>
    <col min="7" max="7" width="13.28125" style="638" customWidth="1"/>
    <col min="8" max="8" width="13.00390625" style="638" customWidth="1"/>
    <col min="9" max="9" width="12.7109375" style="638" customWidth="1"/>
    <col min="10" max="10" width="9.7109375" style="638" customWidth="1"/>
    <col min="11" max="11" width="13.28125" style="638" customWidth="1"/>
    <col min="12" max="12" width="16.421875" style="638" customWidth="1"/>
    <col min="13" max="13" width="14.28125" style="638" customWidth="1"/>
    <col min="14" max="14" width="5.7109375" style="539" customWidth="1"/>
    <col min="15" max="16" width="15.421875" style="539" customWidth="1"/>
    <col min="17" max="17" width="22.00390625" style="539" customWidth="1"/>
    <col min="18" max="18" width="13.421875" style="539" customWidth="1"/>
    <col min="19" max="16384" width="7.8515625" style="539" customWidth="1"/>
  </cols>
  <sheetData>
    <row r="1" ht="15.75">
      <c r="A1" s="314" t="s">
        <v>165</v>
      </c>
    </row>
    <row r="2" ht="11.25" customHeight="1">
      <c r="A2" s="500"/>
    </row>
    <row r="3" spans="1:13" ht="12.75">
      <c r="A3" s="866" t="str">
        <f>+'Informações Iniciais'!A1</f>
        <v>ESTADO DO MARANHÃO - PREFEITURA MUNICIPAL DE DAVINOPOLIS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480"/>
    </row>
    <row r="4" spans="1:13" ht="12.75">
      <c r="A4" s="867" t="s">
        <v>1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483"/>
    </row>
    <row r="5" spans="1:13" ht="12.75">
      <c r="A5" s="868" t="s">
        <v>166</v>
      </c>
      <c r="B5" s="868"/>
      <c r="C5" s="868"/>
      <c r="D5" s="868"/>
      <c r="E5" s="868"/>
      <c r="F5" s="868"/>
      <c r="G5" s="868"/>
      <c r="H5" s="868"/>
      <c r="I5" s="868"/>
      <c r="J5" s="868"/>
      <c r="K5" s="868"/>
      <c r="L5" s="868"/>
      <c r="M5" s="623"/>
    </row>
    <row r="6" spans="1:13" ht="12.75">
      <c r="A6" s="869" t="s">
        <v>30</v>
      </c>
      <c r="B6" s="869"/>
      <c r="C6" s="869"/>
      <c r="D6" s="869"/>
      <c r="E6" s="869"/>
      <c r="F6" s="869"/>
      <c r="G6" s="869"/>
      <c r="H6" s="869"/>
      <c r="I6" s="869"/>
      <c r="J6" s="869"/>
      <c r="K6" s="869"/>
      <c r="L6" s="869"/>
      <c r="M6" s="481"/>
    </row>
    <row r="7" spans="1:13" ht="12.75">
      <c r="A7" s="866" t="str">
        <f>+'Informações Iniciais'!A5</f>
        <v>1º Bimestre de 2017</v>
      </c>
      <c r="B7" s="866"/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480"/>
    </row>
    <row r="8" spans="1:13" ht="12.75">
      <c r="A8" s="870"/>
      <c r="B8" s="870"/>
      <c r="C8" s="870"/>
      <c r="D8" s="870"/>
      <c r="E8" s="870"/>
      <c r="F8" s="870"/>
      <c r="G8" s="870"/>
      <c r="H8" s="870"/>
      <c r="I8" s="870"/>
      <c r="J8" s="870"/>
      <c r="K8" s="870"/>
      <c r="L8" s="870"/>
      <c r="M8" s="539"/>
    </row>
    <row r="9" spans="1:12" ht="12.75">
      <c r="A9" s="483" t="s">
        <v>167</v>
      </c>
      <c r="B9" s="536"/>
      <c r="C9" s="539"/>
      <c r="D9" s="539"/>
      <c r="E9" s="639"/>
      <c r="F9" s="639"/>
      <c r="G9" s="639"/>
      <c r="H9" s="639"/>
      <c r="I9" s="539"/>
      <c r="J9" s="539"/>
      <c r="K9" s="539"/>
      <c r="L9" s="496" t="s">
        <v>32</v>
      </c>
    </row>
    <row r="10" spans="1:13" ht="18" customHeight="1">
      <c r="A10" s="872" t="s">
        <v>168</v>
      </c>
      <c r="B10" s="486" t="s">
        <v>169</v>
      </c>
      <c r="C10" s="486" t="s">
        <v>169</v>
      </c>
      <c r="D10" s="881" t="s">
        <v>121</v>
      </c>
      <c r="E10" s="882"/>
      <c r="F10" s="883"/>
      <c r="G10" s="836" t="s">
        <v>37</v>
      </c>
      <c r="H10" s="884" t="s">
        <v>122</v>
      </c>
      <c r="I10" s="885"/>
      <c r="J10" s="886"/>
      <c r="K10" s="836" t="s">
        <v>37</v>
      </c>
      <c r="L10" s="877" t="s">
        <v>170</v>
      </c>
      <c r="M10" s="539"/>
    </row>
    <row r="11" spans="1:13" ht="12.75">
      <c r="A11" s="873"/>
      <c r="B11" s="488" t="s">
        <v>171</v>
      </c>
      <c r="C11" s="488" t="s">
        <v>172</v>
      </c>
      <c r="D11" s="875" t="s">
        <v>38</v>
      </c>
      <c r="E11" s="486" t="s">
        <v>40</v>
      </c>
      <c r="F11" s="486" t="s">
        <v>39</v>
      </c>
      <c r="G11" s="837"/>
      <c r="H11" s="875" t="s">
        <v>38</v>
      </c>
      <c r="I11" s="486" t="s">
        <v>40</v>
      </c>
      <c r="J11" s="486" t="s">
        <v>39</v>
      </c>
      <c r="K11" s="837"/>
      <c r="L11" s="878"/>
      <c r="M11" s="539"/>
    </row>
    <row r="12" spans="1:12" s="540" customFormat="1" ht="24" customHeight="1">
      <c r="A12" s="874"/>
      <c r="B12" s="640"/>
      <c r="C12" s="641" t="s">
        <v>41</v>
      </c>
      <c r="D12" s="876"/>
      <c r="E12" s="641" t="s">
        <v>42</v>
      </c>
      <c r="F12" s="641" t="s">
        <v>173</v>
      </c>
      <c r="G12" s="635" t="s">
        <v>174</v>
      </c>
      <c r="H12" s="876"/>
      <c r="I12" s="641" t="s">
        <v>126</v>
      </c>
      <c r="J12" s="641" t="s">
        <v>175</v>
      </c>
      <c r="K12" s="635" t="s">
        <v>176</v>
      </c>
      <c r="L12" s="879"/>
    </row>
    <row r="13" spans="1:12" s="540" customFormat="1" ht="12.75">
      <c r="A13" s="642" t="s">
        <v>177</v>
      </c>
      <c r="B13" s="643">
        <f>+B14+B18+B22+B26+B39+B44+B49+B53+B59+B65+B73+B79+B89+B93+B98+B103+B107+B111+B118+B123+B130+B133+B140+B147+B151+B157+B164+B169+B178+B179</f>
        <v>36977489.65</v>
      </c>
      <c r="C13" s="643">
        <f aca="true" t="shared" si="0" ref="C13:I13">+C14+C18+C22+C26+C39+C44+C49+C53+C59+C65+C73+C79+C89+C93+C98+C103+C107+C111+C118+C123+C130+C133+C140+C147+C151+C157+C164+C169+C178+C179</f>
        <v>37154676.980000004</v>
      </c>
      <c r="D13" s="643">
        <f t="shared" si="0"/>
        <v>3774995.0399999996</v>
      </c>
      <c r="E13" s="643">
        <f t="shared" si="0"/>
        <v>3774995.0399999996</v>
      </c>
      <c r="F13" s="643">
        <f>IF(E$181="",0,IF(E$181=0,0,E13/E$181))</f>
        <v>1</v>
      </c>
      <c r="G13" s="643">
        <f>+C13-E13</f>
        <v>33379681.940000005</v>
      </c>
      <c r="H13" s="643">
        <f t="shared" si="0"/>
        <v>2441072.2299999995</v>
      </c>
      <c r="I13" s="643">
        <f t="shared" si="0"/>
        <v>2441072.2299999995</v>
      </c>
      <c r="J13" s="643">
        <f>IF(I181="",0,IF(I181=0,0,I13/I$181))</f>
        <v>1</v>
      </c>
      <c r="K13" s="643">
        <f>+C13-I13</f>
        <v>34713604.75000001</v>
      </c>
      <c r="L13" s="643">
        <f>+L14+L18+L22+L26+L39+L44+L49+L53+L59+L65+L73+L79+L89+L93+L98+L103+L107+L111+L118+L123+L130+L133+L140+L147+L151+L157+L164+L169+L178+L179</f>
        <v>0</v>
      </c>
    </row>
    <row r="14" spans="1:12" s="540" customFormat="1" ht="12.75">
      <c r="A14" s="644" t="s">
        <v>178</v>
      </c>
      <c r="B14" s="645">
        <f>SUM(B15:B17)</f>
        <v>1134837.25</v>
      </c>
      <c r="C14" s="645">
        <f aca="true" t="shared" si="1" ref="C14:I14">SUM(C15:C17)</f>
        <v>1134837.25</v>
      </c>
      <c r="D14" s="645">
        <f t="shared" si="1"/>
        <v>0</v>
      </c>
      <c r="E14" s="645">
        <f t="shared" si="1"/>
        <v>0</v>
      </c>
      <c r="F14" s="645">
        <f aca="true" t="shared" si="2" ref="F14:F77">IF(E$181="",0,IF(E$181=0,0,E14/E$181))</f>
        <v>0</v>
      </c>
      <c r="G14" s="645">
        <f aca="true" t="shared" si="3" ref="G14:G77">+C14-E14</f>
        <v>1134837.25</v>
      </c>
      <c r="H14" s="645">
        <f t="shared" si="1"/>
        <v>0</v>
      </c>
      <c r="I14" s="645">
        <f t="shared" si="1"/>
        <v>0</v>
      </c>
      <c r="J14" s="645" t="e">
        <f>IF(#REF!="",0,IF(#REF!=0,0,I14/I$181))</f>
        <v>#REF!</v>
      </c>
      <c r="K14" s="645">
        <f aca="true" t="shared" si="4" ref="K14:K77">+C14-I14</f>
        <v>1134837.25</v>
      </c>
      <c r="L14" s="645">
        <f>SUM(L15:L17)</f>
        <v>0</v>
      </c>
    </row>
    <row r="15" spans="1:13" ht="12.75">
      <c r="A15" s="646" t="s">
        <v>179</v>
      </c>
      <c r="B15" s="647">
        <v>1092914</v>
      </c>
      <c r="C15" s="648">
        <v>1092914</v>
      </c>
      <c r="D15" s="648"/>
      <c r="E15" s="648"/>
      <c r="F15" s="649">
        <f t="shared" si="2"/>
        <v>0</v>
      </c>
      <c r="G15" s="649">
        <f t="shared" si="3"/>
        <v>1092914</v>
      </c>
      <c r="H15" s="648"/>
      <c r="I15" s="648"/>
      <c r="J15" s="651">
        <f aca="true" t="shared" si="5" ref="J15:J78">IF(I182="",0,IF(I182=0,0,I15/I$181))</f>
        <v>0</v>
      </c>
      <c r="K15" s="651">
        <f t="shared" si="4"/>
        <v>1092914</v>
      </c>
      <c r="L15" s="648"/>
      <c r="M15" s="539"/>
    </row>
    <row r="16" spans="1:13" ht="12.75">
      <c r="A16" s="646" t="s">
        <v>180</v>
      </c>
      <c r="B16" s="647"/>
      <c r="C16" s="648"/>
      <c r="D16" s="648"/>
      <c r="E16" s="648"/>
      <c r="F16" s="649">
        <f t="shared" si="2"/>
        <v>0</v>
      </c>
      <c r="G16" s="649">
        <f t="shared" si="3"/>
        <v>0</v>
      </c>
      <c r="H16" s="648"/>
      <c r="I16" s="648"/>
      <c r="J16" s="651">
        <f t="shared" si="5"/>
        <v>0</v>
      </c>
      <c r="K16" s="651">
        <f t="shared" si="4"/>
        <v>0</v>
      </c>
      <c r="L16" s="648"/>
      <c r="M16" s="539"/>
    </row>
    <row r="17" spans="1:13" ht="12.75">
      <c r="A17" s="646" t="s">
        <v>181</v>
      </c>
      <c r="B17" s="647">
        <v>41923.25</v>
      </c>
      <c r="C17" s="648">
        <v>41923.25</v>
      </c>
      <c r="D17" s="648"/>
      <c r="E17" s="648"/>
      <c r="F17" s="649">
        <f t="shared" si="2"/>
        <v>0</v>
      </c>
      <c r="G17" s="649">
        <f t="shared" si="3"/>
        <v>41923.25</v>
      </c>
      <c r="H17" s="648"/>
      <c r="I17" s="648"/>
      <c r="J17" s="649">
        <f t="shared" si="5"/>
        <v>0</v>
      </c>
      <c r="K17" s="651">
        <f t="shared" si="4"/>
        <v>41923.25</v>
      </c>
      <c r="L17" s="648"/>
      <c r="M17" s="536"/>
    </row>
    <row r="18" spans="1:15" ht="12.75">
      <c r="A18" s="644" t="s">
        <v>182</v>
      </c>
      <c r="B18" s="645">
        <f>SUM(B19:B21)</f>
        <v>0</v>
      </c>
      <c r="C18" s="645">
        <f aca="true" t="shared" si="6" ref="C18:I18">SUM(C19:C21)</f>
        <v>0</v>
      </c>
      <c r="D18" s="645">
        <f t="shared" si="6"/>
        <v>0</v>
      </c>
      <c r="E18" s="645">
        <f t="shared" si="6"/>
        <v>0</v>
      </c>
      <c r="F18" s="645">
        <f t="shared" si="2"/>
        <v>0</v>
      </c>
      <c r="G18" s="645">
        <f t="shared" si="3"/>
        <v>0</v>
      </c>
      <c r="H18" s="645">
        <f t="shared" si="6"/>
        <v>0</v>
      </c>
      <c r="I18" s="645">
        <f t="shared" si="6"/>
        <v>0</v>
      </c>
      <c r="J18" s="645">
        <f t="shared" si="5"/>
        <v>0</v>
      </c>
      <c r="K18" s="645">
        <f t="shared" si="4"/>
        <v>0</v>
      </c>
      <c r="L18" s="645">
        <f>SUM(L19:L21)</f>
        <v>0</v>
      </c>
      <c r="M18" s="536"/>
      <c r="O18" s="880"/>
    </row>
    <row r="19" spans="1:15" ht="12.75">
      <c r="A19" s="646" t="s">
        <v>183</v>
      </c>
      <c r="B19" s="648"/>
      <c r="C19" s="648"/>
      <c r="D19" s="648"/>
      <c r="E19" s="648"/>
      <c r="F19" s="649">
        <f t="shared" si="2"/>
        <v>0</v>
      </c>
      <c r="G19" s="649">
        <f t="shared" si="3"/>
        <v>0</v>
      </c>
      <c r="H19" s="648"/>
      <c r="I19" s="648"/>
      <c r="J19" s="649">
        <f t="shared" si="5"/>
        <v>0</v>
      </c>
      <c r="K19" s="651">
        <f t="shared" si="4"/>
        <v>0</v>
      </c>
      <c r="L19" s="648"/>
      <c r="M19" s="536"/>
      <c r="O19" s="880"/>
    </row>
    <row r="20" spans="1:15" ht="12.75">
      <c r="A20" s="646" t="s">
        <v>184</v>
      </c>
      <c r="B20" s="648"/>
      <c r="C20" s="648"/>
      <c r="D20" s="648"/>
      <c r="E20" s="648"/>
      <c r="F20" s="649">
        <f t="shared" si="2"/>
        <v>0</v>
      </c>
      <c r="G20" s="649">
        <f t="shared" si="3"/>
        <v>0</v>
      </c>
      <c r="H20" s="648"/>
      <c r="I20" s="648"/>
      <c r="J20" s="649">
        <f t="shared" si="5"/>
        <v>0</v>
      </c>
      <c r="K20" s="651">
        <f t="shared" si="4"/>
        <v>0</v>
      </c>
      <c r="L20" s="648"/>
      <c r="M20" s="536"/>
      <c r="O20" s="880"/>
    </row>
    <row r="21" spans="1:13" ht="12.75">
      <c r="A21" s="646" t="s">
        <v>181</v>
      </c>
      <c r="B21" s="648"/>
      <c r="C21" s="648"/>
      <c r="D21" s="648"/>
      <c r="E21" s="648"/>
      <c r="F21" s="649">
        <f t="shared" si="2"/>
        <v>0</v>
      </c>
      <c r="G21" s="649">
        <f t="shared" si="3"/>
        <v>0</v>
      </c>
      <c r="H21" s="648"/>
      <c r="I21" s="648"/>
      <c r="J21" s="649">
        <f t="shared" si="5"/>
        <v>0</v>
      </c>
      <c r="K21" s="651">
        <f t="shared" si="4"/>
        <v>0</v>
      </c>
      <c r="L21" s="648"/>
      <c r="M21" s="536"/>
    </row>
    <row r="22" spans="1:13" ht="12.75">
      <c r="A22" s="644" t="s">
        <v>185</v>
      </c>
      <c r="B22" s="645">
        <f>SUM(B23:B25)</f>
        <v>0</v>
      </c>
      <c r="C22" s="645">
        <f aca="true" t="shared" si="7" ref="C22:I22">SUM(C23:C25)</f>
        <v>0</v>
      </c>
      <c r="D22" s="645">
        <f t="shared" si="7"/>
        <v>0</v>
      </c>
      <c r="E22" s="645">
        <f t="shared" si="7"/>
        <v>0</v>
      </c>
      <c r="F22" s="645">
        <f t="shared" si="2"/>
        <v>0</v>
      </c>
      <c r="G22" s="645">
        <f t="shared" si="3"/>
        <v>0</v>
      </c>
      <c r="H22" s="645">
        <f t="shared" si="7"/>
        <v>0</v>
      </c>
      <c r="I22" s="645">
        <f t="shared" si="7"/>
        <v>0</v>
      </c>
      <c r="J22" s="645">
        <f t="shared" si="5"/>
        <v>0</v>
      </c>
      <c r="K22" s="645">
        <f t="shared" si="4"/>
        <v>0</v>
      </c>
      <c r="L22" s="645">
        <f>SUM(L23:L25)</f>
        <v>0</v>
      </c>
      <c r="M22" s="536"/>
    </row>
    <row r="23" spans="1:13" ht="12.75">
      <c r="A23" s="646" t="s">
        <v>186</v>
      </c>
      <c r="B23" s="648"/>
      <c r="C23" s="648"/>
      <c r="D23" s="648"/>
      <c r="E23" s="648"/>
      <c r="F23" s="649">
        <f t="shared" si="2"/>
        <v>0</v>
      </c>
      <c r="G23" s="649">
        <f t="shared" si="3"/>
        <v>0</v>
      </c>
      <c r="H23" s="648"/>
      <c r="I23" s="648"/>
      <c r="J23" s="649">
        <f t="shared" si="5"/>
        <v>0</v>
      </c>
      <c r="K23" s="651">
        <f t="shared" si="4"/>
        <v>0</v>
      </c>
      <c r="L23" s="648"/>
      <c r="M23" s="536"/>
    </row>
    <row r="24" spans="1:13" ht="12.75">
      <c r="A24" s="646" t="s">
        <v>187</v>
      </c>
      <c r="B24" s="648"/>
      <c r="C24" s="648"/>
      <c r="D24" s="648"/>
      <c r="E24" s="648"/>
      <c r="F24" s="649">
        <f t="shared" si="2"/>
        <v>0</v>
      </c>
      <c r="G24" s="649">
        <f t="shared" si="3"/>
        <v>0</v>
      </c>
      <c r="H24" s="648"/>
      <c r="I24" s="648"/>
      <c r="J24" s="649">
        <f t="shared" si="5"/>
        <v>0</v>
      </c>
      <c r="K24" s="651">
        <f t="shared" si="4"/>
        <v>0</v>
      </c>
      <c r="L24" s="648"/>
      <c r="M24" s="536"/>
    </row>
    <row r="25" spans="1:13" ht="12.75">
      <c r="A25" s="646" t="s">
        <v>181</v>
      </c>
      <c r="B25" s="648"/>
      <c r="C25" s="648"/>
      <c r="D25" s="648"/>
      <c r="E25" s="648"/>
      <c r="F25" s="649">
        <f t="shared" si="2"/>
        <v>0</v>
      </c>
      <c r="G25" s="649">
        <f t="shared" si="3"/>
        <v>0</v>
      </c>
      <c r="H25" s="648"/>
      <c r="I25" s="648"/>
      <c r="J25" s="649">
        <f t="shared" si="5"/>
        <v>0</v>
      </c>
      <c r="K25" s="651">
        <f t="shared" si="4"/>
        <v>0</v>
      </c>
      <c r="L25" s="648"/>
      <c r="M25" s="536"/>
    </row>
    <row r="26" spans="1:13" ht="12.75">
      <c r="A26" s="644" t="s">
        <v>188</v>
      </c>
      <c r="B26" s="650">
        <f>SUM(B27:B38)</f>
        <v>3801132.25</v>
      </c>
      <c r="C26" s="650">
        <f aca="true" t="shared" si="8" ref="C26:I26">SUM(C27:C38)</f>
        <v>3826011.87</v>
      </c>
      <c r="D26" s="650">
        <f t="shared" si="8"/>
        <v>291664.87</v>
      </c>
      <c r="E26" s="650">
        <f t="shared" si="8"/>
        <v>291664.87</v>
      </c>
      <c r="F26" s="650">
        <f t="shared" si="2"/>
        <v>0.07726231873406647</v>
      </c>
      <c r="G26" s="650">
        <f t="shared" si="3"/>
        <v>3534347</v>
      </c>
      <c r="H26" s="650">
        <f t="shared" si="8"/>
        <v>291664.87</v>
      </c>
      <c r="I26" s="650">
        <f t="shared" si="8"/>
        <v>291664.87</v>
      </c>
      <c r="J26" s="650">
        <f t="shared" si="5"/>
        <v>0</v>
      </c>
      <c r="K26" s="650">
        <f t="shared" si="4"/>
        <v>3534347</v>
      </c>
      <c r="L26" s="650">
        <f>SUM(L27:L38)</f>
        <v>0</v>
      </c>
      <c r="M26" s="536"/>
    </row>
    <row r="27" spans="1:13" ht="12.75">
      <c r="A27" s="646" t="s">
        <v>189</v>
      </c>
      <c r="B27" s="648"/>
      <c r="C27" s="648"/>
      <c r="D27" s="648"/>
      <c r="E27" s="648"/>
      <c r="F27" s="649">
        <f t="shared" si="2"/>
        <v>0</v>
      </c>
      <c r="G27" s="649">
        <f t="shared" si="3"/>
        <v>0</v>
      </c>
      <c r="H27" s="648"/>
      <c r="I27" s="648"/>
      <c r="J27" s="649">
        <f t="shared" si="5"/>
        <v>0</v>
      </c>
      <c r="K27" s="651">
        <f t="shared" si="4"/>
        <v>0</v>
      </c>
      <c r="L27" s="648"/>
      <c r="M27" s="536"/>
    </row>
    <row r="28" spans="1:13" ht="12.75">
      <c r="A28" s="646" t="s">
        <v>190</v>
      </c>
      <c r="B28" s="648">
        <v>2638367.75</v>
      </c>
      <c r="C28" s="648">
        <v>2639744.24</v>
      </c>
      <c r="D28" s="648">
        <v>102146.85</v>
      </c>
      <c r="E28" s="648">
        <v>102146.85</v>
      </c>
      <c r="F28" s="649">
        <f t="shared" si="2"/>
        <v>0.02705880376467992</v>
      </c>
      <c r="G28" s="649">
        <f t="shared" si="3"/>
        <v>2537597.39</v>
      </c>
      <c r="H28" s="648">
        <v>102146.85</v>
      </c>
      <c r="I28" s="648">
        <v>102146.85</v>
      </c>
      <c r="J28" s="649">
        <f t="shared" si="5"/>
        <v>0</v>
      </c>
      <c r="K28" s="651">
        <f t="shared" si="4"/>
        <v>2537597.39</v>
      </c>
      <c r="L28" s="648"/>
      <c r="M28" s="536"/>
    </row>
    <row r="29" spans="1:13" ht="12.75">
      <c r="A29" s="646" t="s">
        <v>191</v>
      </c>
      <c r="B29" s="648"/>
      <c r="C29" s="648"/>
      <c r="D29" s="648"/>
      <c r="E29" s="648"/>
      <c r="F29" s="649">
        <f t="shared" si="2"/>
        <v>0</v>
      </c>
      <c r="G29" s="649">
        <f t="shared" si="3"/>
        <v>0</v>
      </c>
      <c r="H29" s="648"/>
      <c r="I29" s="648"/>
      <c r="J29" s="649">
        <f t="shared" si="5"/>
        <v>0</v>
      </c>
      <c r="K29" s="651">
        <f t="shared" si="4"/>
        <v>0</v>
      </c>
      <c r="L29" s="648"/>
      <c r="M29" s="536"/>
    </row>
    <row r="30" spans="1:13" ht="12.75">
      <c r="A30" s="646" t="s">
        <v>192</v>
      </c>
      <c r="B30" s="648">
        <v>692980.5</v>
      </c>
      <c r="C30" s="648">
        <v>716483.63</v>
      </c>
      <c r="D30" s="648">
        <v>189518.02</v>
      </c>
      <c r="E30" s="648">
        <v>189518.02</v>
      </c>
      <c r="F30" s="649">
        <f t="shared" si="2"/>
        <v>0.05020351496938656</v>
      </c>
      <c r="G30" s="649">
        <f t="shared" si="3"/>
        <v>526965.61</v>
      </c>
      <c r="H30" s="648">
        <v>189518.02</v>
      </c>
      <c r="I30" s="648">
        <v>189518.02</v>
      </c>
      <c r="J30" s="649">
        <f t="shared" si="5"/>
        <v>0</v>
      </c>
      <c r="K30" s="651">
        <f t="shared" si="4"/>
        <v>526965.61</v>
      </c>
      <c r="L30" s="648"/>
      <c r="M30" s="536"/>
    </row>
    <row r="31" spans="1:13" ht="12.75">
      <c r="A31" s="646" t="s">
        <v>193</v>
      </c>
      <c r="B31" s="648"/>
      <c r="C31" s="648"/>
      <c r="D31" s="648"/>
      <c r="E31" s="648"/>
      <c r="F31" s="649">
        <f t="shared" si="2"/>
        <v>0</v>
      </c>
      <c r="G31" s="649">
        <f t="shared" si="3"/>
        <v>0</v>
      </c>
      <c r="H31" s="648"/>
      <c r="I31" s="648"/>
      <c r="J31" s="649">
        <f t="shared" si="5"/>
        <v>0</v>
      </c>
      <c r="K31" s="651">
        <f t="shared" si="4"/>
        <v>0</v>
      </c>
      <c r="L31" s="648"/>
      <c r="M31" s="536"/>
    </row>
    <row r="32" spans="1:13" ht="12.75">
      <c r="A32" s="646" t="s">
        <v>194</v>
      </c>
      <c r="B32" s="648"/>
      <c r="C32" s="648"/>
      <c r="D32" s="648"/>
      <c r="E32" s="648"/>
      <c r="F32" s="649">
        <f t="shared" si="2"/>
        <v>0</v>
      </c>
      <c r="G32" s="649">
        <f t="shared" si="3"/>
        <v>0</v>
      </c>
      <c r="H32" s="648"/>
      <c r="I32" s="648"/>
      <c r="J32" s="649">
        <f t="shared" si="5"/>
        <v>0</v>
      </c>
      <c r="K32" s="651">
        <f t="shared" si="4"/>
        <v>0</v>
      </c>
      <c r="L32" s="648"/>
      <c r="M32" s="536"/>
    </row>
    <row r="33" spans="1:13" ht="12.75">
      <c r="A33" s="646" t="s">
        <v>195</v>
      </c>
      <c r="B33" s="648"/>
      <c r="C33" s="648"/>
      <c r="D33" s="648"/>
      <c r="E33" s="648"/>
      <c r="F33" s="649">
        <f t="shared" si="2"/>
        <v>0</v>
      </c>
      <c r="G33" s="649">
        <f t="shared" si="3"/>
        <v>0</v>
      </c>
      <c r="H33" s="648"/>
      <c r="I33" s="648"/>
      <c r="J33" s="649">
        <f t="shared" si="5"/>
        <v>0</v>
      </c>
      <c r="K33" s="651">
        <f t="shared" si="4"/>
        <v>0</v>
      </c>
      <c r="L33" s="648"/>
      <c r="M33" s="536"/>
    </row>
    <row r="34" spans="1:13" ht="12.75">
      <c r="A34" s="646" t="s">
        <v>196</v>
      </c>
      <c r="B34" s="648">
        <v>91853.25</v>
      </c>
      <c r="C34" s="648">
        <v>91853.25</v>
      </c>
      <c r="D34" s="648"/>
      <c r="E34" s="648"/>
      <c r="F34" s="649">
        <f t="shared" si="2"/>
        <v>0</v>
      </c>
      <c r="G34" s="649">
        <f t="shared" si="3"/>
        <v>91853.25</v>
      </c>
      <c r="H34" s="648"/>
      <c r="I34" s="648"/>
      <c r="J34" s="649">
        <f t="shared" si="5"/>
        <v>0</v>
      </c>
      <c r="K34" s="651">
        <f t="shared" si="4"/>
        <v>91853.25</v>
      </c>
      <c r="L34" s="648"/>
      <c r="M34" s="536"/>
    </row>
    <row r="35" spans="1:13" ht="12.75">
      <c r="A35" s="646" t="s">
        <v>197</v>
      </c>
      <c r="B35" s="648">
        <v>102454</v>
      </c>
      <c r="C35" s="648">
        <v>102454</v>
      </c>
      <c r="D35" s="648"/>
      <c r="E35" s="648"/>
      <c r="F35" s="649">
        <f t="shared" si="2"/>
        <v>0</v>
      </c>
      <c r="G35" s="649">
        <f t="shared" si="3"/>
        <v>102454</v>
      </c>
      <c r="H35" s="648"/>
      <c r="I35" s="648"/>
      <c r="J35" s="649">
        <f t="shared" si="5"/>
        <v>0</v>
      </c>
      <c r="K35" s="651">
        <f t="shared" si="4"/>
        <v>102454</v>
      </c>
      <c r="L35" s="648"/>
      <c r="M35" s="536"/>
    </row>
    <row r="36" spans="1:13" ht="12.75">
      <c r="A36" s="646" t="s">
        <v>198</v>
      </c>
      <c r="B36" s="648"/>
      <c r="C36" s="648"/>
      <c r="D36" s="648"/>
      <c r="E36" s="648"/>
      <c r="F36" s="649">
        <f t="shared" si="2"/>
        <v>0</v>
      </c>
      <c r="G36" s="649">
        <f t="shared" si="3"/>
        <v>0</v>
      </c>
      <c r="H36" s="648"/>
      <c r="I36" s="648"/>
      <c r="J36" s="649">
        <f t="shared" si="5"/>
        <v>0</v>
      </c>
      <c r="K36" s="651">
        <f t="shared" si="4"/>
        <v>0</v>
      </c>
      <c r="L36" s="648"/>
      <c r="M36" s="536"/>
    </row>
    <row r="37" spans="1:13" ht="12.75">
      <c r="A37" s="646" t="s">
        <v>199</v>
      </c>
      <c r="B37" s="648"/>
      <c r="C37" s="648"/>
      <c r="D37" s="648"/>
      <c r="E37" s="648"/>
      <c r="F37" s="649">
        <f t="shared" si="2"/>
        <v>0</v>
      </c>
      <c r="G37" s="649">
        <f t="shared" si="3"/>
        <v>0</v>
      </c>
      <c r="H37" s="648"/>
      <c r="I37" s="648"/>
      <c r="J37" s="649">
        <f t="shared" si="5"/>
        <v>0</v>
      </c>
      <c r="K37" s="651">
        <f t="shared" si="4"/>
        <v>0</v>
      </c>
      <c r="L37" s="648"/>
      <c r="M37" s="536"/>
    </row>
    <row r="38" spans="1:13" ht="12.75">
      <c r="A38" s="646" t="s">
        <v>181</v>
      </c>
      <c r="B38" s="648">
        <v>275476.75</v>
      </c>
      <c r="C38" s="648">
        <v>275476.75</v>
      </c>
      <c r="D38" s="648"/>
      <c r="E38" s="648"/>
      <c r="F38" s="649">
        <f t="shared" si="2"/>
        <v>0</v>
      </c>
      <c r="G38" s="649">
        <f t="shared" si="3"/>
        <v>275476.75</v>
      </c>
      <c r="H38" s="648"/>
      <c r="I38" s="648"/>
      <c r="J38" s="649">
        <f t="shared" si="5"/>
        <v>0</v>
      </c>
      <c r="K38" s="651">
        <f t="shared" si="4"/>
        <v>275476.75</v>
      </c>
      <c r="L38" s="648"/>
      <c r="M38" s="536"/>
    </row>
    <row r="39" spans="1:13" ht="12.75">
      <c r="A39" s="644" t="s">
        <v>200</v>
      </c>
      <c r="B39" s="650">
        <f>SUM(B40:B43)</f>
        <v>0</v>
      </c>
      <c r="C39" s="650">
        <f aca="true" t="shared" si="9" ref="C39:I39">SUM(C40:C43)</f>
        <v>0</v>
      </c>
      <c r="D39" s="650">
        <f t="shared" si="9"/>
        <v>0</v>
      </c>
      <c r="E39" s="650">
        <f t="shared" si="9"/>
        <v>0</v>
      </c>
      <c r="F39" s="650">
        <f t="shared" si="2"/>
        <v>0</v>
      </c>
      <c r="G39" s="650">
        <f t="shared" si="3"/>
        <v>0</v>
      </c>
      <c r="H39" s="650">
        <f t="shared" si="9"/>
        <v>0</v>
      </c>
      <c r="I39" s="650">
        <f t="shared" si="9"/>
        <v>0</v>
      </c>
      <c r="J39" s="650">
        <f t="shared" si="5"/>
        <v>0</v>
      </c>
      <c r="K39" s="650">
        <f t="shared" si="4"/>
        <v>0</v>
      </c>
      <c r="L39" s="650">
        <f>SUM(L40:L43)</f>
        <v>0</v>
      </c>
      <c r="M39" s="536"/>
    </row>
    <row r="40" spans="1:13" ht="12.75">
      <c r="A40" s="646" t="s">
        <v>201</v>
      </c>
      <c r="B40" s="648"/>
      <c r="C40" s="648"/>
      <c r="D40" s="648"/>
      <c r="E40" s="648"/>
      <c r="F40" s="649">
        <f t="shared" si="2"/>
        <v>0</v>
      </c>
      <c r="G40" s="649">
        <f t="shared" si="3"/>
        <v>0</v>
      </c>
      <c r="H40" s="648"/>
      <c r="I40" s="648"/>
      <c r="J40" s="649">
        <f t="shared" si="5"/>
        <v>0</v>
      </c>
      <c r="K40" s="651">
        <f t="shared" si="4"/>
        <v>0</v>
      </c>
      <c r="L40" s="648"/>
      <c r="M40" s="536"/>
    </row>
    <row r="41" spans="1:13" ht="12.75">
      <c r="A41" s="646" t="s">
        <v>202</v>
      </c>
      <c r="B41" s="648"/>
      <c r="C41" s="648"/>
      <c r="D41" s="648"/>
      <c r="E41" s="648"/>
      <c r="F41" s="649">
        <f t="shared" si="2"/>
        <v>0</v>
      </c>
      <c r="G41" s="649">
        <f t="shared" si="3"/>
        <v>0</v>
      </c>
      <c r="H41" s="648"/>
      <c r="I41" s="648"/>
      <c r="J41" s="649">
        <f t="shared" si="5"/>
        <v>0</v>
      </c>
      <c r="K41" s="651">
        <f t="shared" si="4"/>
        <v>0</v>
      </c>
      <c r="L41" s="648"/>
      <c r="M41" s="536"/>
    </row>
    <row r="42" spans="1:13" ht="12.75">
      <c r="A42" s="646" t="s">
        <v>203</v>
      </c>
      <c r="B42" s="648"/>
      <c r="C42" s="648"/>
      <c r="D42" s="648"/>
      <c r="E42" s="648"/>
      <c r="F42" s="649">
        <f t="shared" si="2"/>
        <v>0</v>
      </c>
      <c r="G42" s="649">
        <f t="shared" si="3"/>
        <v>0</v>
      </c>
      <c r="H42" s="648"/>
      <c r="I42" s="648"/>
      <c r="J42" s="649">
        <f t="shared" si="5"/>
        <v>0</v>
      </c>
      <c r="K42" s="651">
        <f t="shared" si="4"/>
        <v>0</v>
      </c>
      <c r="L42" s="648"/>
      <c r="M42" s="536"/>
    </row>
    <row r="43" spans="1:13" ht="12.75">
      <c r="A43" s="646" t="s">
        <v>181</v>
      </c>
      <c r="B43" s="648"/>
      <c r="C43" s="648"/>
      <c r="D43" s="648"/>
      <c r="E43" s="648"/>
      <c r="F43" s="649">
        <f t="shared" si="2"/>
        <v>0</v>
      </c>
      <c r="G43" s="649">
        <f t="shared" si="3"/>
        <v>0</v>
      </c>
      <c r="H43" s="648"/>
      <c r="I43" s="648"/>
      <c r="J43" s="649">
        <f t="shared" si="5"/>
        <v>0</v>
      </c>
      <c r="K43" s="651">
        <f t="shared" si="4"/>
        <v>0</v>
      </c>
      <c r="L43" s="648"/>
      <c r="M43" s="536"/>
    </row>
    <row r="44" spans="1:13" ht="12.75">
      <c r="A44" s="644" t="s">
        <v>204</v>
      </c>
      <c r="B44" s="650">
        <f>SUM(B45:B48)</f>
        <v>0</v>
      </c>
      <c r="C44" s="650">
        <f aca="true" t="shared" si="10" ref="C44:I44">SUM(C45:C48)</f>
        <v>0</v>
      </c>
      <c r="D44" s="650">
        <f t="shared" si="10"/>
        <v>0</v>
      </c>
      <c r="E44" s="650">
        <f t="shared" si="10"/>
        <v>0</v>
      </c>
      <c r="F44" s="650">
        <f t="shared" si="2"/>
        <v>0</v>
      </c>
      <c r="G44" s="650">
        <f t="shared" si="3"/>
        <v>0</v>
      </c>
      <c r="H44" s="650">
        <f t="shared" si="10"/>
        <v>0</v>
      </c>
      <c r="I44" s="650">
        <f t="shared" si="10"/>
        <v>0</v>
      </c>
      <c r="J44" s="650">
        <f t="shared" si="5"/>
        <v>0</v>
      </c>
      <c r="K44" s="650">
        <f t="shared" si="4"/>
        <v>0</v>
      </c>
      <c r="L44" s="650">
        <f>SUM(L45:L48)</f>
        <v>0</v>
      </c>
      <c r="M44" s="536"/>
    </row>
    <row r="45" spans="1:13" ht="12.75">
      <c r="A45" s="646" t="s">
        <v>205</v>
      </c>
      <c r="B45" s="648"/>
      <c r="C45" s="648"/>
      <c r="D45" s="648"/>
      <c r="E45" s="648"/>
      <c r="F45" s="649">
        <f t="shared" si="2"/>
        <v>0</v>
      </c>
      <c r="G45" s="649">
        <f t="shared" si="3"/>
        <v>0</v>
      </c>
      <c r="H45" s="648"/>
      <c r="I45" s="648"/>
      <c r="J45" s="649">
        <f t="shared" si="5"/>
        <v>0</v>
      </c>
      <c r="K45" s="651">
        <f t="shared" si="4"/>
        <v>0</v>
      </c>
      <c r="L45" s="648"/>
      <c r="M45" s="536"/>
    </row>
    <row r="46" spans="1:13" ht="12.75">
      <c r="A46" s="646" t="s">
        <v>206</v>
      </c>
      <c r="B46" s="648"/>
      <c r="C46" s="648"/>
      <c r="D46" s="648"/>
      <c r="E46" s="648"/>
      <c r="F46" s="649">
        <f t="shared" si="2"/>
        <v>0</v>
      </c>
      <c r="G46" s="649">
        <f t="shared" si="3"/>
        <v>0</v>
      </c>
      <c r="H46" s="648"/>
      <c r="I46" s="648"/>
      <c r="J46" s="649">
        <f t="shared" si="5"/>
        <v>0</v>
      </c>
      <c r="K46" s="651">
        <f t="shared" si="4"/>
        <v>0</v>
      </c>
      <c r="L46" s="648"/>
      <c r="M46" s="536"/>
    </row>
    <row r="47" spans="1:13" ht="12.75">
      <c r="A47" s="646" t="s">
        <v>207</v>
      </c>
      <c r="B47" s="648"/>
      <c r="C47" s="648"/>
      <c r="D47" s="648"/>
      <c r="E47" s="648"/>
      <c r="F47" s="649">
        <f t="shared" si="2"/>
        <v>0</v>
      </c>
      <c r="G47" s="649">
        <f t="shared" si="3"/>
        <v>0</v>
      </c>
      <c r="H47" s="648"/>
      <c r="I47" s="648"/>
      <c r="J47" s="649">
        <f t="shared" si="5"/>
        <v>0</v>
      </c>
      <c r="K47" s="651">
        <f t="shared" si="4"/>
        <v>0</v>
      </c>
      <c r="L47" s="648"/>
      <c r="M47" s="536"/>
    </row>
    <row r="48" spans="1:13" ht="12.75">
      <c r="A48" s="646" t="s">
        <v>181</v>
      </c>
      <c r="B48" s="648"/>
      <c r="C48" s="648"/>
      <c r="D48" s="648"/>
      <c r="E48" s="648"/>
      <c r="F48" s="649">
        <f t="shared" si="2"/>
        <v>0</v>
      </c>
      <c r="G48" s="649">
        <f t="shared" si="3"/>
        <v>0</v>
      </c>
      <c r="H48" s="648"/>
      <c r="I48" s="648"/>
      <c r="J48" s="649">
        <f t="shared" si="5"/>
        <v>0</v>
      </c>
      <c r="K48" s="651">
        <f t="shared" si="4"/>
        <v>0</v>
      </c>
      <c r="L48" s="648"/>
      <c r="M48" s="536"/>
    </row>
    <row r="49" spans="1:13" ht="12.75">
      <c r="A49" s="644" t="s">
        <v>208</v>
      </c>
      <c r="B49" s="645">
        <f>SUM(B50:B52)</f>
        <v>0</v>
      </c>
      <c r="C49" s="645">
        <f aca="true" t="shared" si="11" ref="C49:I49">SUM(C50:C52)</f>
        <v>0</v>
      </c>
      <c r="D49" s="645">
        <f t="shared" si="11"/>
        <v>0</v>
      </c>
      <c r="E49" s="645">
        <f t="shared" si="11"/>
        <v>0</v>
      </c>
      <c r="F49" s="645">
        <f t="shared" si="2"/>
        <v>0</v>
      </c>
      <c r="G49" s="645">
        <f t="shared" si="3"/>
        <v>0</v>
      </c>
      <c r="H49" s="645">
        <f t="shared" si="11"/>
        <v>0</v>
      </c>
      <c r="I49" s="645">
        <f t="shared" si="11"/>
        <v>0</v>
      </c>
      <c r="J49" s="645">
        <f t="shared" si="5"/>
        <v>0</v>
      </c>
      <c r="K49" s="645">
        <f t="shared" si="4"/>
        <v>0</v>
      </c>
      <c r="L49" s="645">
        <f>SUM(L50:L52)</f>
        <v>0</v>
      </c>
      <c r="M49" s="536"/>
    </row>
    <row r="50" spans="1:13" ht="12.75">
      <c r="A50" s="646" t="s">
        <v>209</v>
      </c>
      <c r="B50" s="648"/>
      <c r="C50" s="648"/>
      <c r="D50" s="648"/>
      <c r="E50" s="648"/>
      <c r="F50" s="649">
        <f t="shared" si="2"/>
        <v>0</v>
      </c>
      <c r="G50" s="649">
        <f t="shared" si="3"/>
        <v>0</v>
      </c>
      <c r="H50" s="648"/>
      <c r="I50" s="648"/>
      <c r="J50" s="649">
        <f t="shared" si="5"/>
        <v>0</v>
      </c>
      <c r="K50" s="651">
        <f t="shared" si="4"/>
        <v>0</v>
      </c>
      <c r="L50" s="648"/>
      <c r="M50" s="536"/>
    </row>
    <row r="51" spans="1:13" ht="12.75">
      <c r="A51" s="646" t="s">
        <v>210</v>
      </c>
      <c r="B51" s="648"/>
      <c r="C51" s="648"/>
      <c r="D51" s="648"/>
      <c r="E51" s="648"/>
      <c r="F51" s="649">
        <f t="shared" si="2"/>
        <v>0</v>
      </c>
      <c r="G51" s="649">
        <f t="shared" si="3"/>
        <v>0</v>
      </c>
      <c r="H51" s="648"/>
      <c r="I51" s="648"/>
      <c r="J51" s="649">
        <f t="shared" si="5"/>
        <v>0</v>
      </c>
      <c r="K51" s="651">
        <f t="shared" si="4"/>
        <v>0</v>
      </c>
      <c r="L51" s="648"/>
      <c r="M51" s="536"/>
    </row>
    <row r="52" spans="1:13" ht="12.75">
      <c r="A52" s="646" t="s">
        <v>181</v>
      </c>
      <c r="B52" s="648"/>
      <c r="C52" s="648"/>
      <c r="D52" s="648"/>
      <c r="E52" s="648"/>
      <c r="F52" s="649">
        <f t="shared" si="2"/>
        <v>0</v>
      </c>
      <c r="G52" s="649">
        <f t="shared" si="3"/>
        <v>0</v>
      </c>
      <c r="H52" s="648"/>
      <c r="I52" s="648"/>
      <c r="J52" s="649">
        <f t="shared" si="5"/>
        <v>0</v>
      </c>
      <c r="K52" s="651">
        <f t="shared" si="4"/>
        <v>0</v>
      </c>
      <c r="L52" s="648"/>
      <c r="M52" s="536"/>
    </row>
    <row r="53" spans="1:13" ht="12.75">
      <c r="A53" s="644" t="s">
        <v>211</v>
      </c>
      <c r="B53" s="650">
        <f>SUM(B54:B58)</f>
        <v>2092142.83</v>
      </c>
      <c r="C53" s="650">
        <f aca="true" t="shared" si="12" ref="C53:I53">SUM(C54:C58)</f>
        <v>2092142.83</v>
      </c>
      <c r="D53" s="650">
        <f t="shared" si="12"/>
        <v>92083.11</v>
      </c>
      <c r="E53" s="650">
        <f t="shared" si="12"/>
        <v>92083.11</v>
      </c>
      <c r="F53" s="650">
        <f t="shared" si="2"/>
        <v>0.024392908871212718</v>
      </c>
      <c r="G53" s="650">
        <f t="shared" si="3"/>
        <v>2000059.72</v>
      </c>
      <c r="H53" s="650">
        <f t="shared" si="12"/>
        <v>92083.11</v>
      </c>
      <c r="I53" s="650">
        <f t="shared" si="12"/>
        <v>92083.11</v>
      </c>
      <c r="J53" s="650">
        <f t="shared" si="5"/>
        <v>0</v>
      </c>
      <c r="K53" s="650">
        <f t="shared" si="4"/>
        <v>2000059.72</v>
      </c>
      <c r="L53" s="650">
        <f>SUM(L54:L58)</f>
        <v>0</v>
      </c>
      <c r="M53" s="536"/>
    </row>
    <row r="54" spans="1:13" ht="12.75">
      <c r="A54" s="646" t="s">
        <v>212</v>
      </c>
      <c r="B54" s="648">
        <v>262389.75</v>
      </c>
      <c r="C54" s="648">
        <v>262389.75</v>
      </c>
      <c r="D54" s="648"/>
      <c r="E54" s="648"/>
      <c r="F54" s="649">
        <f t="shared" si="2"/>
        <v>0</v>
      </c>
      <c r="G54" s="649">
        <f t="shared" si="3"/>
        <v>262389.75</v>
      </c>
      <c r="H54" s="648"/>
      <c r="I54" s="648"/>
      <c r="J54" s="649">
        <f t="shared" si="5"/>
        <v>0</v>
      </c>
      <c r="K54" s="651">
        <f t="shared" si="4"/>
        <v>262389.75</v>
      </c>
      <c r="L54" s="648"/>
      <c r="M54" s="536"/>
    </row>
    <row r="55" spans="1:13" ht="12.75">
      <c r="A55" s="646" t="s">
        <v>213</v>
      </c>
      <c r="B55" s="648">
        <v>49743.25</v>
      </c>
      <c r="C55" s="648">
        <v>49743.25</v>
      </c>
      <c r="D55" s="648"/>
      <c r="E55" s="648"/>
      <c r="F55" s="649">
        <f t="shared" si="2"/>
        <v>0</v>
      </c>
      <c r="G55" s="649">
        <f t="shared" si="3"/>
        <v>49743.25</v>
      </c>
      <c r="H55" s="648"/>
      <c r="I55" s="648"/>
      <c r="J55" s="649">
        <f t="shared" si="5"/>
        <v>0</v>
      </c>
      <c r="K55" s="651">
        <f t="shared" si="4"/>
        <v>49743.25</v>
      </c>
      <c r="L55" s="648"/>
      <c r="M55" s="536"/>
    </row>
    <row r="56" spans="1:13" ht="12.75">
      <c r="A56" s="646" t="s">
        <v>214</v>
      </c>
      <c r="B56" s="648">
        <v>583952.75</v>
      </c>
      <c r="C56" s="648">
        <v>583952.75</v>
      </c>
      <c r="D56" s="648">
        <v>19944.65</v>
      </c>
      <c r="E56" s="648">
        <v>19944.65</v>
      </c>
      <c r="F56" s="649">
        <f t="shared" si="2"/>
        <v>0.005283357935219964</v>
      </c>
      <c r="G56" s="649">
        <f t="shared" si="3"/>
        <v>564008.1</v>
      </c>
      <c r="H56" s="648">
        <v>19944.65</v>
      </c>
      <c r="I56" s="648">
        <v>19944.65</v>
      </c>
      <c r="J56" s="649">
        <f t="shared" si="5"/>
        <v>0</v>
      </c>
      <c r="K56" s="651">
        <f t="shared" si="4"/>
        <v>564008.1</v>
      </c>
      <c r="L56" s="648"/>
      <c r="M56" s="536"/>
    </row>
    <row r="57" spans="1:13" ht="12.75">
      <c r="A57" s="646" t="s">
        <v>215</v>
      </c>
      <c r="B57" s="648">
        <v>644034.08</v>
      </c>
      <c r="C57" s="648">
        <v>644034.08</v>
      </c>
      <c r="D57" s="648">
        <v>63672.46</v>
      </c>
      <c r="E57" s="648">
        <v>63672.46</v>
      </c>
      <c r="F57" s="649">
        <f t="shared" si="2"/>
        <v>0.0168668989827335</v>
      </c>
      <c r="G57" s="649">
        <f t="shared" si="3"/>
        <v>580361.62</v>
      </c>
      <c r="H57" s="648">
        <v>63672.46</v>
      </c>
      <c r="I57" s="648">
        <v>63672.46</v>
      </c>
      <c r="J57" s="649">
        <f t="shared" si="5"/>
        <v>0</v>
      </c>
      <c r="K57" s="651">
        <f t="shared" si="4"/>
        <v>580361.62</v>
      </c>
      <c r="L57" s="648"/>
      <c r="M57" s="536"/>
    </row>
    <row r="58" spans="1:13" ht="12.75">
      <c r="A58" s="646" t="s">
        <v>181</v>
      </c>
      <c r="B58" s="648">
        <v>552023</v>
      </c>
      <c r="C58" s="648">
        <v>552023</v>
      </c>
      <c r="D58" s="648">
        <v>8466</v>
      </c>
      <c r="E58" s="648">
        <v>8466</v>
      </c>
      <c r="F58" s="649">
        <f t="shared" si="2"/>
        <v>0.0022426519532592554</v>
      </c>
      <c r="G58" s="649">
        <f t="shared" si="3"/>
        <v>543557</v>
      </c>
      <c r="H58" s="648">
        <v>8466</v>
      </c>
      <c r="I58" s="648">
        <v>8466</v>
      </c>
      <c r="J58" s="649">
        <f t="shared" si="5"/>
        <v>0</v>
      </c>
      <c r="K58" s="651">
        <f t="shared" si="4"/>
        <v>543557</v>
      </c>
      <c r="L58" s="648"/>
      <c r="M58" s="536"/>
    </row>
    <row r="59" spans="1:13" ht="12.75">
      <c r="A59" s="644" t="s">
        <v>216</v>
      </c>
      <c r="B59" s="650">
        <f>SUM(B60:B64)</f>
        <v>0</v>
      </c>
      <c r="C59" s="650">
        <f aca="true" t="shared" si="13" ref="C59:I59">SUM(C60:C64)</f>
        <v>0</v>
      </c>
      <c r="D59" s="650">
        <f t="shared" si="13"/>
        <v>0</v>
      </c>
      <c r="E59" s="650">
        <f t="shared" si="13"/>
        <v>0</v>
      </c>
      <c r="F59" s="650">
        <f t="shared" si="2"/>
        <v>0</v>
      </c>
      <c r="G59" s="650">
        <f t="shared" si="3"/>
        <v>0</v>
      </c>
      <c r="H59" s="650">
        <f t="shared" si="13"/>
        <v>0</v>
      </c>
      <c r="I59" s="650">
        <f t="shared" si="13"/>
        <v>0</v>
      </c>
      <c r="J59" s="650">
        <f t="shared" si="5"/>
        <v>0</v>
      </c>
      <c r="K59" s="650">
        <f t="shared" si="4"/>
        <v>0</v>
      </c>
      <c r="L59" s="650">
        <f>SUM(L60:L64)</f>
        <v>0</v>
      </c>
      <c r="M59" s="536"/>
    </row>
    <row r="60" spans="1:13" ht="12.75">
      <c r="A60" s="646" t="s">
        <v>217</v>
      </c>
      <c r="B60" s="648"/>
      <c r="C60" s="648"/>
      <c r="D60" s="648"/>
      <c r="E60" s="648"/>
      <c r="F60" s="649">
        <f t="shared" si="2"/>
        <v>0</v>
      </c>
      <c r="G60" s="649">
        <f t="shared" si="3"/>
        <v>0</v>
      </c>
      <c r="H60" s="648"/>
      <c r="I60" s="648"/>
      <c r="J60" s="649">
        <f t="shared" si="5"/>
        <v>0</v>
      </c>
      <c r="K60" s="651">
        <f t="shared" si="4"/>
        <v>0</v>
      </c>
      <c r="L60" s="648"/>
      <c r="M60" s="536"/>
    </row>
    <row r="61" spans="1:13" ht="12.75">
      <c r="A61" s="646" t="s">
        <v>218</v>
      </c>
      <c r="B61" s="648"/>
      <c r="C61" s="648"/>
      <c r="D61" s="648"/>
      <c r="E61" s="648"/>
      <c r="F61" s="649">
        <f t="shared" si="2"/>
        <v>0</v>
      </c>
      <c r="G61" s="649">
        <f t="shared" si="3"/>
        <v>0</v>
      </c>
      <c r="H61" s="648"/>
      <c r="I61" s="648"/>
      <c r="J61" s="649">
        <f t="shared" si="5"/>
        <v>0</v>
      </c>
      <c r="K61" s="651">
        <f t="shared" si="4"/>
        <v>0</v>
      </c>
      <c r="L61" s="648"/>
      <c r="M61" s="536"/>
    </row>
    <row r="62" spans="1:13" ht="12.75">
      <c r="A62" s="646" t="s">
        <v>219</v>
      </c>
      <c r="B62" s="648"/>
      <c r="C62" s="648"/>
      <c r="D62" s="648"/>
      <c r="E62" s="648"/>
      <c r="F62" s="649">
        <f t="shared" si="2"/>
        <v>0</v>
      </c>
      <c r="G62" s="649">
        <f t="shared" si="3"/>
        <v>0</v>
      </c>
      <c r="H62" s="648"/>
      <c r="I62" s="648"/>
      <c r="J62" s="649">
        <f t="shared" si="5"/>
        <v>0</v>
      </c>
      <c r="K62" s="651">
        <f t="shared" si="4"/>
        <v>0</v>
      </c>
      <c r="L62" s="648"/>
      <c r="M62" s="536"/>
    </row>
    <row r="63" spans="1:13" ht="12.75">
      <c r="A63" s="646" t="s">
        <v>220</v>
      </c>
      <c r="B63" s="648"/>
      <c r="C63" s="648"/>
      <c r="D63" s="648"/>
      <c r="E63" s="648"/>
      <c r="F63" s="649">
        <f t="shared" si="2"/>
        <v>0</v>
      </c>
      <c r="G63" s="649">
        <f t="shared" si="3"/>
        <v>0</v>
      </c>
      <c r="H63" s="648"/>
      <c r="I63" s="648"/>
      <c r="J63" s="649">
        <f t="shared" si="5"/>
        <v>0</v>
      </c>
      <c r="K63" s="651">
        <f t="shared" si="4"/>
        <v>0</v>
      </c>
      <c r="L63" s="648"/>
      <c r="M63" s="536"/>
    </row>
    <row r="64" spans="1:13" ht="12.75">
      <c r="A64" s="646" t="s">
        <v>181</v>
      </c>
      <c r="B64" s="648"/>
      <c r="C64" s="648"/>
      <c r="D64" s="648"/>
      <c r="E64" s="648"/>
      <c r="F64" s="649">
        <f t="shared" si="2"/>
        <v>0</v>
      </c>
      <c r="G64" s="649">
        <f t="shared" si="3"/>
        <v>0</v>
      </c>
      <c r="H64" s="648"/>
      <c r="I64" s="648"/>
      <c r="J64" s="649">
        <f t="shared" si="5"/>
        <v>0</v>
      </c>
      <c r="K64" s="651">
        <f t="shared" si="4"/>
        <v>0</v>
      </c>
      <c r="L64" s="648"/>
      <c r="M64" s="536"/>
    </row>
    <row r="65" spans="1:13" ht="12.75">
      <c r="A65" s="644" t="s">
        <v>221</v>
      </c>
      <c r="B65" s="650">
        <f>SUM(B66:B72)</f>
        <v>8876694.25</v>
      </c>
      <c r="C65" s="650">
        <f aca="true" t="shared" si="14" ref="C65:I65">SUM(C66:C72)</f>
        <v>8903501.65</v>
      </c>
      <c r="D65" s="650">
        <f t="shared" si="14"/>
        <v>388975.92</v>
      </c>
      <c r="E65" s="650">
        <f t="shared" si="14"/>
        <v>388975.92</v>
      </c>
      <c r="F65" s="650">
        <f t="shared" si="2"/>
        <v>0.10304011419310369</v>
      </c>
      <c r="G65" s="650">
        <f t="shared" si="3"/>
        <v>8514525.73</v>
      </c>
      <c r="H65" s="650">
        <f t="shared" si="14"/>
        <v>388975.92</v>
      </c>
      <c r="I65" s="650">
        <f t="shared" si="14"/>
        <v>388975.92</v>
      </c>
      <c r="J65" s="650">
        <f t="shared" si="5"/>
        <v>0</v>
      </c>
      <c r="K65" s="650">
        <f t="shared" si="4"/>
        <v>8514525.73</v>
      </c>
      <c r="L65" s="650">
        <f>SUM(L66:L72)</f>
        <v>0</v>
      </c>
      <c r="M65" s="536"/>
    </row>
    <row r="66" spans="1:13" ht="12.75">
      <c r="A66" s="646" t="s">
        <v>222</v>
      </c>
      <c r="B66" s="648">
        <v>3783206.75</v>
      </c>
      <c r="C66" s="648">
        <v>3783206.75</v>
      </c>
      <c r="D66" s="648">
        <v>118991.99</v>
      </c>
      <c r="E66" s="648">
        <v>118991.99</v>
      </c>
      <c r="F66" s="649">
        <f t="shared" si="2"/>
        <v>0.03152109836944316</v>
      </c>
      <c r="G66" s="649">
        <f t="shared" si="3"/>
        <v>3664214.76</v>
      </c>
      <c r="H66" s="648">
        <v>118991.99</v>
      </c>
      <c r="I66" s="648">
        <v>118991.99</v>
      </c>
      <c r="J66" s="649">
        <f t="shared" si="5"/>
        <v>0</v>
      </c>
      <c r="K66" s="651">
        <f t="shared" si="4"/>
        <v>3664214.76</v>
      </c>
      <c r="L66" s="648"/>
      <c r="M66" s="536"/>
    </row>
    <row r="67" spans="1:13" ht="12.75">
      <c r="A67" s="646" t="s">
        <v>223</v>
      </c>
      <c r="B67" s="648">
        <v>2819738.5</v>
      </c>
      <c r="C67" s="648">
        <v>2846545.9</v>
      </c>
      <c r="D67" s="648">
        <v>227930.86</v>
      </c>
      <c r="E67" s="648">
        <v>227930.86</v>
      </c>
      <c r="F67" s="649">
        <f t="shared" si="2"/>
        <v>0.060379115094148575</v>
      </c>
      <c r="G67" s="649">
        <f t="shared" si="3"/>
        <v>2618615.04</v>
      </c>
      <c r="H67" s="648">
        <v>227930.86</v>
      </c>
      <c r="I67" s="648">
        <v>227930.86</v>
      </c>
      <c r="J67" s="649">
        <f t="shared" si="5"/>
        <v>0</v>
      </c>
      <c r="K67" s="651">
        <f t="shared" si="4"/>
        <v>2618615.04</v>
      </c>
      <c r="L67" s="648"/>
      <c r="M67" s="536"/>
    </row>
    <row r="68" spans="1:13" ht="12.75">
      <c r="A68" s="646" t="s">
        <v>224</v>
      </c>
      <c r="B68" s="648"/>
      <c r="C68" s="648"/>
      <c r="D68" s="648"/>
      <c r="E68" s="648"/>
      <c r="F68" s="649">
        <f t="shared" si="2"/>
        <v>0</v>
      </c>
      <c r="G68" s="649">
        <f t="shared" si="3"/>
        <v>0</v>
      </c>
      <c r="H68" s="648"/>
      <c r="I68" s="648"/>
      <c r="J68" s="649">
        <f t="shared" si="5"/>
        <v>0</v>
      </c>
      <c r="K68" s="651">
        <f t="shared" si="4"/>
        <v>0</v>
      </c>
      <c r="L68" s="648"/>
      <c r="M68" s="536"/>
    </row>
    <row r="69" spans="1:13" ht="12.75">
      <c r="A69" s="646" t="s">
        <v>225</v>
      </c>
      <c r="B69" s="648">
        <v>354052.25</v>
      </c>
      <c r="C69" s="648">
        <v>354052.25</v>
      </c>
      <c r="D69" s="648"/>
      <c r="E69" s="648"/>
      <c r="F69" s="649">
        <f t="shared" si="2"/>
        <v>0</v>
      </c>
      <c r="G69" s="649">
        <f t="shared" si="3"/>
        <v>354052.25</v>
      </c>
      <c r="H69" s="648"/>
      <c r="I69" s="648"/>
      <c r="J69" s="649">
        <f t="shared" si="5"/>
        <v>0</v>
      </c>
      <c r="K69" s="651">
        <f t="shared" si="4"/>
        <v>354052.25</v>
      </c>
      <c r="L69" s="648"/>
      <c r="M69" s="536"/>
    </row>
    <row r="70" spans="1:13" ht="12.75">
      <c r="A70" s="646" t="s">
        <v>226</v>
      </c>
      <c r="B70" s="648">
        <v>248497.75</v>
      </c>
      <c r="C70" s="648">
        <v>248497.75</v>
      </c>
      <c r="D70" s="648"/>
      <c r="E70" s="648"/>
      <c r="F70" s="649">
        <f t="shared" si="2"/>
        <v>0</v>
      </c>
      <c r="G70" s="649">
        <f t="shared" si="3"/>
        <v>248497.75</v>
      </c>
      <c r="H70" s="648"/>
      <c r="I70" s="648"/>
      <c r="J70" s="649">
        <f t="shared" si="5"/>
        <v>0</v>
      </c>
      <c r="K70" s="651">
        <f t="shared" si="4"/>
        <v>248497.75</v>
      </c>
      <c r="L70" s="648"/>
      <c r="M70" s="536"/>
    </row>
    <row r="71" spans="1:13" ht="12.75">
      <c r="A71" s="646" t="s">
        <v>227</v>
      </c>
      <c r="B71" s="648"/>
      <c r="C71" s="648"/>
      <c r="D71" s="648"/>
      <c r="E71" s="648"/>
      <c r="F71" s="649">
        <f t="shared" si="2"/>
        <v>0</v>
      </c>
      <c r="G71" s="649">
        <f t="shared" si="3"/>
        <v>0</v>
      </c>
      <c r="H71" s="648"/>
      <c r="I71" s="648"/>
      <c r="J71" s="649">
        <f t="shared" si="5"/>
        <v>0</v>
      </c>
      <c r="K71" s="651">
        <f t="shared" si="4"/>
        <v>0</v>
      </c>
      <c r="L71" s="648"/>
      <c r="M71" s="536"/>
    </row>
    <row r="72" spans="1:13" ht="12.75">
      <c r="A72" s="646" t="s">
        <v>181</v>
      </c>
      <c r="B72" s="648">
        <v>1671199</v>
      </c>
      <c r="C72" s="648">
        <v>1671199</v>
      </c>
      <c r="D72" s="648">
        <v>42053.07</v>
      </c>
      <c r="E72" s="648">
        <v>42053.07</v>
      </c>
      <c r="F72" s="649">
        <f t="shared" si="2"/>
        <v>0.011139900729511954</v>
      </c>
      <c r="G72" s="649">
        <f t="shared" si="3"/>
        <v>1629145.93</v>
      </c>
      <c r="H72" s="648">
        <v>42053.07</v>
      </c>
      <c r="I72" s="648">
        <v>42053.07</v>
      </c>
      <c r="J72" s="649">
        <f t="shared" si="5"/>
        <v>0</v>
      </c>
      <c r="K72" s="651">
        <f t="shared" si="4"/>
        <v>1629145.93</v>
      </c>
      <c r="L72" s="648"/>
      <c r="M72" s="536"/>
    </row>
    <row r="73" spans="1:13" ht="12.75">
      <c r="A73" s="644" t="s">
        <v>228</v>
      </c>
      <c r="B73" s="650">
        <f>SUM(B74:B78)</f>
        <v>0</v>
      </c>
      <c r="C73" s="650">
        <f aca="true" t="shared" si="15" ref="C73:I73">SUM(C74:C78)</f>
        <v>0</v>
      </c>
      <c r="D73" s="650">
        <f t="shared" si="15"/>
        <v>0</v>
      </c>
      <c r="E73" s="650">
        <f t="shared" si="15"/>
        <v>0</v>
      </c>
      <c r="F73" s="650">
        <f t="shared" si="2"/>
        <v>0</v>
      </c>
      <c r="G73" s="650">
        <f t="shared" si="3"/>
        <v>0</v>
      </c>
      <c r="H73" s="650">
        <f t="shared" si="15"/>
        <v>0</v>
      </c>
      <c r="I73" s="650">
        <f t="shared" si="15"/>
        <v>0</v>
      </c>
      <c r="J73" s="650">
        <f t="shared" si="5"/>
        <v>0</v>
      </c>
      <c r="K73" s="650">
        <f t="shared" si="4"/>
        <v>0</v>
      </c>
      <c r="L73" s="650">
        <f>SUM(L74:L78)</f>
        <v>0</v>
      </c>
      <c r="M73" s="536"/>
    </row>
    <row r="74" spans="1:13" ht="12.75">
      <c r="A74" s="646" t="s">
        <v>229</v>
      </c>
      <c r="B74" s="648"/>
      <c r="C74" s="648"/>
      <c r="D74" s="648"/>
      <c r="E74" s="648"/>
      <c r="F74" s="649">
        <f t="shared" si="2"/>
        <v>0</v>
      </c>
      <c r="G74" s="649">
        <f t="shared" si="3"/>
        <v>0</v>
      </c>
      <c r="H74" s="648"/>
      <c r="I74" s="648"/>
      <c r="J74" s="649">
        <f t="shared" si="5"/>
        <v>0</v>
      </c>
      <c r="K74" s="651">
        <f t="shared" si="4"/>
        <v>0</v>
      </c>
      <c r="L74" s="648"/>
      <c r="M74" s="536"/>
    </row>
    <row r="75" spans="1:13" ht="12.75">
      <c r="A75" s="646" t="s">
        <v>230</v>
      </c>
      <c r="B75" s="648"/>
      <c r="C75" s="648"/>
      <c r="D75" s="648"/>
      <c r="E75" s="648"/>
      <c r="F75" s="649">
        <f t="shared" si="2"/>
        <v>0</v>
      </c>
      <c r="G75" s="649">
        <f t="shared" si="3"/>
        <v>0</v>
      </c>
      <c r="H75" s="648"/>
      <c r="I75" s="648"/>
      <c r="J75" s="649">
        <f t="shared" si="5"/>
        <v>0</v>
      </c>
      <c r="K75" s="651">
        <f t="shared" si="4"/>
        <v>0</v>
      </c>
      <c r="L75" s="648"/>
      <c r="M75" s="536"/>
    </row>
    <row r="76" spans="1:13" ht="12.75">
      <c r="A76" s="646" t="s">
        <v>231</v>
      </c>
      <c r="B76" s="648"/>
      <c r="C76" s="648"/>
      <c r="D76" s="648"/>
      <c r="E76" s="648"/>
      <c r="F76" s="649">
        <f t="shared" si="2"/>
        <v>0</v>
      </c>
      <c r="G76" s="649">
        <f t="shared" si="3"/>
        <v>0</v>
      </c>
      <c r="H76" s="648"/>
      <c r="I76" s="648"/>
      <c r="J76" s="649">
        <f t="shared" si="5"/>
        <v>0</v>
      </c>
      <c r="K76" s="651">
        <f t="shared" si="4"/>
        <v>0</v>
      </c>
      <c r="L76" s="648"/>
      <c r="M76" s="536"/>
    </row>
    <row r="77" spans="1:13" ht="12.75">
      <c r="A77" s="646" t="s">
        <v>232</v>
      </c>
      <c r="B77" s="648"/>
      <c r="C77" s="648"/>
      <c r="D77" s="648"/>
      <c r="E77" s="648"/>
      <c r="F77" s="649">
        <f t="shared" si="2"/>
        <v>0</v>
      </c>
      <c r="G77" s="649">
        <f t="shared" si="3"/>
        <v>0</v>
      </c>
      <c r="H77" s="648"/>
      <c r="I77" s="648"/>
      <c r="J77" s="649">
        <f t="shared" si="5"/>
        <v>0</v>
      </c>
      <c r="K77" s="651">
        <f t="shared" si="4"/>
        <v>0</v>
      </c>
      <c r="L77" s="648"/>
      <c r="M77" s="536"/>
    </row>
    <row r="78" spans="1:13" ht="12.75">
      <c r="A78" s="646" t="s">
        <v>181</v>
      </c>
      <c r="B78" s="648"/>
      <c r="C78" s="648"/>
      <c r="D78" s="648"/>
      <c r="E78" s="648"/>
      <c r="F78" s="649">
        <f aca="true" t="shared" si="16" ref="F78:F86">IF(E$181="",0,IF(E$181=0,0,E78/E$181))</f>
        <v>0</v>
      </c>
      <c r="G78" s="649">
        <f aca="true" t="shared" si="17" ref="G78:G86">+C78-E78</f>
        <v>0</v>
      </c>
      <c r="H78" s="648"/>
      <c r="I78" s="648"/>
      <c r="J78" s="649">
        <f t="shared" si="5"/>
        <v>0</v>
      </c>
      <c r="K78" s="651">
        <f aca="true" t="shared" si="18" ref="K78:K86">+C78-I78</f>
        <v>0</v>
      </c>
      <c r="L78" s="648"/>
      <c r="M78" s="536"/>
    </row>
    <row r="79" spans="1:13" ht="12.75">
      <c r="A79" s="644" t="s">
        <v>233</v>
      </c>
      <c r="B79" s="650">
        <f>SUM(B80:B88)</f>
        <v>11906278.54</v>
      </c>
      <c r="C79" s="650">
        <f aca="true" t="shared" si="19" ref="C79:I79">SUM(C80:C88)</f>
        <v>12031778.85</v>
      </c>
      <c r="D79" s="650">
        <f t="shared" si="19"/>
        <v>2012708</v>
      </c>
      <c r="E79" s="650">
        <f t="shared" si="19"/>
        <v>2012708</v>
      </c>
      <c r="F79" s="650">
        <f t="shared" si="16"/>
        <v>0.5331683826530274</v>
      </c>
      <c r="G79" s="650">
        <f t="shared" si="17"/>
        <v>10019070.85</v>
      </c>
      <c r="H79" s="650">
        <f t="shared" si="19"/>
        <v>1616735.19</v>
      </c>
      <c r="I79" s="650">
        <f t="shared" si="19"/>
        <v>1616735.19</v>
      </c>
      <c r="J79" s="650">
        <f aca="true" t="shared" si="20" ref="J79:J86">IF(I246="",0,IF(I246=0,0,I79/I$181))</f>
        <v>0</v>
      </c>
      <c r="K79" s="650">
        <f t="shared" si="18"/>
        <v>10415043.66</v>
      </c>
      <c r="L79" s="650">
        <f>SUM(L80:L88)</f>
        <v>0</v>
      </c>
      <c r="M79" s="536"/>
    </row>
    <row r="80" spans="1:13" ht="12.75">
      <c r="A80" s="646" t="s">
        <v>234</v>
      </c>
      <c r="B80" s="648">
        <v>10825804.29</v>
      </c>
      <c r="C80" s="648">
        <v>10825804.29</v>
      </c>
      <c r="D80" s="648">
        <v>1616735.19</v>
      </c>
      <c r="E80" s="648">
        <v>1616735.19</v>
      </c>
      <c r="F80" s="649">
        <f t="shared" si="16"/>
        <v>0.4282747852299165</v>
      </c>
      <c r="G80" s="649">
        <f t="shared" si="17"/>
        <v>9209069.1</v>
      </c>
      <c r="H80" s="648">
        <v>1616735.19</v>
      </c>
      <c r="I80" s="648">
        <v>1616735.19</v>
      </c>
      <c r="J80" s="649">
        <f t="shared" si="20"/>
        <v>0</v>
      </c>
      <c r="K80" s="651">
        <f t="shared" si="18"/>
        <v>9209069.1</v>
      </c>
      <c r="L80" s="648"/>
      <c r="M80" s="536"/>
    </row>
    <row r="81" spans="1:13" ht="12.75">
      <c r="A81" s="646" t="s">
        <v>235</v>
      </c>
      <c r="B81" s="648"/>
      <c r="C81" s="648"/>
      <c r="D81" s="648"/>
      <c r="E81" s="648"/>
      <c r="F81" s="649">
        <f t="shared" si="16"/>
        <v>0</v>
      </c>
      <c r="G81" s="649">
        <f t="shared" si="17"/>
        <v>0</v>
      </c>
      <c r="H81" s="648"/>
      <c r="I81" s="648"/>
      <c r="J81" s="649">
        <f t="shared" si="20"/>
        <v>0</v>
      </c>
      <c r="K81" s="651">
        <f t="shared" si="18"/>
        <v>0</v>
      </c>
      <c r="L81" s="648"/>
      <c r="M81" s="536"/>
    </row>
    <row r="82" spans="1:13" ht="12.75">
      <c r="A82" s="646" t="s">
        <v>236</v>
      </c>
      <c r="B82" s="648"/>
      <c r="C82" s="648"/>
      <c r="D82" s="648"/>
      <c r="E82" s="648"/>
      <c r="F82" s="649">
        <f t="shared" si="16"/>
        <v>0</v>
      </c>
      <c r="G82" s="649">
        <f t="shared" si="17"/>
        <v>0</v>
      </c>
      <c r="H82" s="648"/>
      <c r="I82" s="648"/>
      <c r="J82" s="649">
        <f t="shared" si="20"/>
        <v>0</v>
      </c>
      <c r="K82" s="651">
        <f t="shared" si="18"/>
        <v>0</v>
      </c>
      <c r="L82" s="648"/>
      <c r="M82" s="536"/>
    </row>
    <row r="83" spans="1:13" ht="12.75">
      <c r="A83" s="646" t="s">
        <v>237</v>
      </c>
      <c r="B83" s="648"/>
      <c r="C83" s="648"/>
      <c r="D83" s="648"/>
      <c r="E83" s="648"/>
      <c r="F83" s="649">
        <f t="shared" si="16"/>
        <v>0</v>
      </c>
      <c r="G83" s="649">
        <f t="shared" si="17"/>
        <v>0</v>
      </c>
      <c r="H83" s="648"/>
      <c r="I83" s="648"/>
      <c r="J83" s="649">
        <f t="shared" si="20"/>
        <v>0</v>
      </c>
      <c r="K83" s="651">
        <f t="shared" si="18"/>
        <v>0</v>
      </c>
      <c r="L83" s="648"/>
      <c r="M83" s="536"/>
    </row>
    <row r="84" spans="1:13" ht="12.75">
      <c r="A84" s="646" t="s">
        <v>238</v>
      </c>
      <c r="B84" s="648">
        <v>182844.25</v>
      </c>
      <c r="C84" s="648">
        <v>182844.25</v>
      </c>
      <c r="D84" s="648"/>
      <c r="E84" s="648"/>
      <c r="F84" s="649">
        <f t="shared" si="16"/>
        <v>0</v>
      </c>
      <c r="G84" s="649">
        <f t="shared" si="17"/>
        <v>182844.25</v>
      </c>
      <c r="H84" s="648"/>
      <c r="I84" s="648"/>
      <c r="J84" s="649">
        <f t="shared" si="20"/>
        <v>0</v>
      </c>
      <c r="K84" s="651">
        <f t="shared" si="18"/>
        <v>182844.25</v>
      </c>
      <c r="L84" s="648"/>
      <c r="M84" s="536"/>
    </row>
    <row r="85" spans="1:13" ht="12.75">
      <c r="A85" s="646" t="s">
        <v>239</v>
      </c>
      <c r="B85" s="648">
        <v>97024.75</v>
      </c>
      <c r="C85" s="648">
        <v>97024.75</v>
      </c>
      <c r="D85" s="648"/>
      <c r="E85" s="648"/>
      <c r="F85" s="649">
        <f t="shared" si="16"/>
        <v>0</v>
      </c>
      <c r="G85" s="649">
        <f t="shared" si="17"/>
        <v>97024.75</v>
      </c>
      <c r="H85" s="648"/>
      <c r="I85" s="648"/>
      <c r="J85" s="649">
        <f t="shared" si="20"/>
        <v>0</v>
      </c>
      <c r="K85" s="651">
        <f t="shared" si="18"/>
        <v>97024.75</v>
      </c>
      <c r="L85" s="648"/>
      <c r="M85" s="536"/>
    </row>
    <row r="86" spans="1:13" ht="12.75">
      <c r="A86" s="646" t="s">
        <v>240</v>
      </c>
      <c r="B86" s="648">
        <v>44965</v>
      </c>
      <c r="C86" s="648">
        <v>44965</v>
      </c>
      <c r="D86" s="648"/>
      <c r="E86" s="648"/>
      <c r="F86" s="649">
        <f t="shared" si="16"/>
        <v>0</v>
      </c>
      <c r="G86" s="649">
        <f t="shared" si="17"/>
        <v>44965</v>
      </c>
      <c r="H86" s="648"/>
      <c r="I86" s="648"/>
      <c r="J86" s="649">
        <f t="shared" si="20"/>
        <v>0</v>
      </c>
      <c r="K86" s="651">
        <f t="shared" si="18"/>
        <v>44965</v>
      </c>
      <c r="L86" s="648"/>
      <c r="M86" s="536"/>
    </row>
    <row r="87" spans="1:13" ht="12.75">
      <c r="A87" s="646" t="s">
        <v>241</v>
      </c>
      <c r="B87" s="648"/>
      <c r="C87" s="648"/>
      <c r="D87" s="648"/>
      <c r="E87" s="648"/>
      <c r="F87" s="649"/>
      <c r="G87" s="649"/>
      <c r="H87" s="648"/>
      <c r="I87" s="648"/>
      <c r="J87" s="649"/>
      <c r="K87" s="651"/>
      <c r="L87" s="648"/>
      <c r="M87" s="536"/>
    </row>
    <row r="88" spans="1:13" ht="12.75">
      <c r="A88" s="646" t="s">
        <v>181</v>
      </c>
      <c r="B88" s="648">
        <v>755640.25</v>
      </c>
      <c r="C88" s="648">
        <v>881140.56</v>
      </c>
      <c r="D88" s="648">
        <v>395972.81</v>
      </c>
      <c r="E88" s="648">
        <v>395972.81</v>
      </c>
      <c r="F88" s="649">
        <f aca="true" t="shared" si="21" ref="F88:F126">IF(E$181="",0,IF(E$181=0,0,E88/E$181))</f>
        <v>0.1048935974231108</v>
      </c>
      <c r="G88" s="649">
        <f aca="true" t="shared" si="22" ref="G88:G126">+C88-E88</f>
        <v>485167.75000000006</v>
      </c>
      <c r="H88" s="648"/>
      <c r="I88" s="648"/>
      <c r="J88" s="649">
        <f aca="true" t="shared" si="23" ref="J88:J123">IF(I254="",0,IF(I254=0,0,I88/I$181))</f>
        <v>0</v>
      </c>
      <c r="K88" s="651">
        <f aca="true" t="shared" si="24" ref="K88:K126">+C88-I88</f>
        <v>881140.56</v>
      </c>
      <c r="L88" s="648"/>
      <c r="M88" s="536"/>
    </row>
    <row r="89" spans="1:13" ht="12.75">
      <c r="A89" s="644" t="s">
        <v>242</v>
      </c>
      <c r="B89" s="645">
        <f>SUM(B90:B92)</f>
        <v>687981.75</v>
      </c>
      <c r="C89" s="645">
        <f aca="true" t="shared" si="25" ref="C89:I89">SUM(C90:C92)</f>
        <v>687981.75</v>
      </c>
      <c r="D89" s="645">
        <f t="shared" si="25"/>
        <v>0</v>
      </c>
      <c r="E89" s="645">
        <f t="shared" si="25"/>
        <v>0</v>
      </c>
      <c r="F89" s="645">
        <f t="shared" si="21"/>
        <v>0</v>
      </c>
      <c r="G89" s="645">
        <f t="shared" si="22"/>
        <v>687981.75</v>
      </c>
      <c r="H89" s="645">
        <f t="shared" si="25"/>
        <v>0</v>
      </c>
      <c r="I89" s="645">
        <f t="shared" si="25"/>
        <v>0</v>
      </c>
      <c r="J89" s="645">
        <f t="shared" si="23"/>
        <v>0</v>
      </c>
      <c r="K89" s="645">
        <f t="shared" si="24"/>
        <v>687981.75</v>
      </c>
      <c r="L89" s="645">
        <f>SUM(L90:L92)</f>
        <v>0</v>
      </c>
      <c r="M89" s="536"/>
    </row>
    <row r="90" spans="1:13" ht="12.75">
      <c r="A90" s="646" t="s">
        <v>243</v>
      </c>
      <c r="B90" s="648"/>
      <c r="C90" s="648"/>
      <c r="D90" s="648"/>
      <c r="E90" s="648"/>
      <c r="F90" s="649">
        <f t="shared" si="21"/>
        <v>0</v>
      </c>
      <c r="G90" s="649">
        <f t="shared" si="22"/>
        <v>0</v>
      </c>
      <c r="H90" s="648"/>
      <c r="I90" s="648"/>
      <c r="J90" s="649">
        <f t="shared" si="23"/>
        <v>0</v>
      </c>
      <c r="K90" s="651">
        <f t="shared" si="24"/>
        <v>0</v>
      </c>
      <c r="L90" s="648"/>
      <c r="M90" s="536"/>
    </row>
    <row r="91" spans="1:13" ht="12.75">
      <c r="A91" s="646" t="s">
        <v>244</v>
      </c>
      <c r="B91" s="648">
        <v>217551.25</v>
      </c>
      <c r="C91" s="648">
        <v>217551.25</v>
      </c>
      <c r="D91" s="648"/>
      <c r="E91" s="648"/>
      <c r="F91" s="649">
        <f t="shared" si="21"/>
        <v>0</v>
      </c>
      <c r="G91" s="649">
        <f t="shared" si="22"/>
        <v>217551.25</v>
      </c>
      <c r="H91" s="648"/>
      <c r="I91" s="648"/>
      <c r="J91" s="649">
        <f t="shared" si="23"/>
        <v>0</v>
      </c>
      <c r="K91" s="651">
        <f t="shared" si="24"/>
        <v>217551.25</v>
      </c>
      <c r="L91" s="648"/>
      <c r="M91" s="536"/>
    </row>
    <row r="92" spans="1:13" ht="12.75">
      <c r="A92" s="646" t="s">
        <v>181</v>
      </c>
      <c r="B92" s="648">
        <v>470430.5</v>
      </c>
      <c r="C92" s="648">
        <v>470430.5</v>
      </c>
      <c r="D92" s="648"/>
      <c r="E92" s="648"/>
      <c r="F92" s="649">
        <f t="shared" si="21"/>
        <v>0</v>
      </c>
      <c r="G92" s="649">
        <f t="shared" si="22"/>
        <v>470430.5</v>
      </c>
      <c r="H92" s="648"/>
      <c r="I92" s="648"/>
      <c r="J92" s="649">
        <f t="shared" si="23"/>
        <v>0</v>
      </c>
      <c r="K92" s="651">
        <f t="shared" si="24"/>
        <v>470430.5</v>
      </c>
      <c r="L92" s="648"/>
      <c r="M92" s="536"/>
    </row>
    <row r="93" spans="1:13" ht="12.75">
      <c r="A93" s="644" t="s">
        <v>245</v>
      </c>
      <c r="B93" s="650">
        <f>SUM(B94:B97)</f>
        <v>0</v>
      </c>
      <c r="C93" s="650">
        <f aca="true" t="shared" si="26" ref="C93:I93">SUM(C94:C97)</f>
        <v>0</v>
      </c>
      <c r="D93" s="650">
        <f t="shared" si="26"/>
        <v>0</v>
      </c>
      <c r="E93" s="650">
        <f t="shared" si="26"/>
        <v>0</v>
      </c>
      <c r="F93" s="650">
        <f t="shared" si="21"/>
        <v>0</v>
      </c>
      <c r="G93" s="650">
        <f t="shared" si="22"/>
        <v>0</v>
      </c>
      <c r="H93" s="650">
        <f t="shared" si="26"/>
        <v>0</v>
      </c>
      <c r="I93" s="650">
        <f t="shared" si="26"/>
        <v>0</v>
      </c>
      <c r="J93" s="650">
        <f t="shared" si="23"/>
        <v>0</v>
      </c>
      <c r="K93" s="650">
        <f t="shared" si="24"/>
        <v>0</v>
      </c>
      <c r="L93" s="650">
        <f>SUM(L94:L97)</f>
        <v>0</v>
      </c>
      <c r="M93" s="536"/>
    </row>
    <row r="94" spans="1:13" ht="12.75">
      <c r="A94" s="646" t="s">
        <v>246</v>
      </c>
      <c r="B94" s="648"/>
      <c r="C94" s="648"/>
      <c r="D94" s="648"/>
      <c r="E94" s="648"/>
      <c r="F94" s="649">
        <f t="shared" si="21"/>
        <v>0</v>
      </c>
      <c r="G94" s="649">
        <f t="shared" si="22"/>
        <v>0</v>
      </c>
      <c r="H94" s="648"/>
      <c r="I94" s="648"/>
      <c r="J94" s="649">
        <f t="shared" si="23"/>
        <v>0</v>
      </c>
      <c r="K94" s="651">
        <f t="shared" si="24"/>
        <v>0</v>
      </c>
      <c r="L94" s="648"/>
      <c r="M94" s="536"/>
    </row>
    <row r="95" spans="1:13" ht="12.75">
      <c r="A95" s="646" t="s">
        <v>247</v>
      </c>
      <c r="B95" s="648"/>
      <c r="C95" s="648"/>
      <c r="D95" s="648"/>
      <c r="E95" s="648"/>
      <c r="F95" s="649">
        <f t="shared" si="21"/>
        <v>0</v>
      </c>
      <c r="G95" s="649">
        <f t="shared" si="22"/>
        <v>0</v>
      </c>
      <c r="H95" s="648"/>
      <c r="I95" s="648"/>
      <c r="J95" s="649">
        <f t="shared" si="23"/>
        <v>0</v>
      </c>
      <c r="K95" s="651">
        <f t="shared" si="24"/>
        <v>0</v>
      </c>
      <c r="L95" s="648"/>
      <c r="M95" s="536"/>
    </row>
    <row r="96" spans="1:13" ht="12.75">
      <c r="A96" s="646" t="s">
        <v>248</v>
      </c>
      <c r="B96" s="648"/>
      <c r="C96" s="648"/>
      <c r="D96" s="648"/>
      <c r="E96" s="648"/>
      <c r="F96" s="649">
        <f t="shared" si="21"/>
        <v>0</v>
      </c>
      <c r="G96" s="649">
        <f t="shared" si="22"/>
        <v>0</v>
      </c>
      <c r="H96" s="648"/>
      <c r="I96" s="648"/>
      <c r="J96" s="649">
        <f t="shared" si="23"/>
        <v>0</v>
      </c>
      <c r="K96" s="651">
        <f t="shared" si="24"/>
        <v>0</v>
      </c>
      <c r="L96" s="648"/>
      <c r="M96" s="536"/>
    </row>
    <row r="97" spans="1:13" ht="12.75">
      <c r="A97" s="646" t="s">
        <v>181</v>
      </c>
      <c r="B97" s="648"/>
      <c r="C97" s="648"/>
      <c r="D97" s="648"/>
      <c r="E97" s="648"/>
      <c r="F97" s="649">
        <f t="shared" si="21"/>
        <v>0</v>
      </c>
      <c r="G97" s="649">
        <f t="shared" si="22"/>
        <v>0</v>
      </c>
      <c r="H97" s="648"/>
      <c r="I97" s="648"/>
      <c r="J97" s="649">
        <f t="shared" si="23"/>
        <v>0</v>
      </c>
      <c r="K97" s="651">
        <f t="shared" si="24"/>
        <v>0</v>
      </c>
      <c r="L97" s="648"/>
      <c r="M97" s="536"/>
    </row>
    <row r="98" spans="1:13" ht="12.75">
      <c r="A98" s="644" t="s">
        <v>249</v>
      </c>
      <c r="B98" s="650">
        <f>SUM(B99:B102)</f>
        <v>4615324.39</v>
      </c>
      <c r="C98" s="650">
        <f aca="true" t="shared" si="27" ref="C98:I98">SUM(C99:C102)</f>
        <v>4615324.39</v>
      </c>
      <c r="D98" s="650">
        <f t="shared" si="27"/>
        <v>965257.4600000001</v>
      </c>
      <c r="E98" s="650">
        <f t="shared" si="27"/>
        <v>965257.4600000001</v>
      </c>
      <c r="F98" s="650">
        <f t="shared" si="21"/>
        <v>0.2556976763603907</v>
      </c>
      <c r="G98" s="650">
        <f t="shared" si="22"/>
        <v>3650066.9299999997</v>
      </c>
      <c r="H98" s="650">
        <f t="shared" si="27"/>
        <v>27307.46</v>
      </c>
      <c r="I98" s="650">
        <f t="shared" si="27"/>
        <v>27307.46</v>
      </c>
      <c r="J98" s="650">
        <f t="shared" si="23"/>
        <v>0</v>
      </c>
      <c r="K98" s="650">
        <f t="shared" si="24"/>
        <v>4588016.93</v>
      </c>
      <c r="L98" s="650">
        <f>SUM(L99:L102)</f>
        <v>0</v>
      </c>
      <c r="M98" s="536"/>
    </row>
    <row r="99" spans="1:13" ht="12.75">
      <c r="A99" s="646" t="s">
        <v>250</v>
      </c>
      <c r="B99" s="648">
        <v>4470387.89</v>
      </c>
      <c r="C99" s="648">
        <v>4470387.89</v>
      </c>
      <c r="D99" s="648">
        <v>960808.92</v>
      </c>
      <c r="E99" s="648">
        <v>960808.92</v>
      </c>
      <c r="F99" s="649">
        <f t="shared" si="21"/>
        <v>0.2545192536199995</v>
      </c>
      <c r="G99" s="649">
        <f t="shared" si="22"/>
        <v>3509578.9699999997</v>
      </c>
      <c r="H99" s="648">
        <v>22858.92</v>
      </c>
      <c r="I99" s="648">
        <v>22858.92</v>
      </c>
      <c r="J99" s="649">
        <f t="shared" si="23"/>
        <v>0</v>
      </c>
      <c r="K99" s="651">
        <f t="shared" si="24"/>
        <v>4447528.97</v>
      </c>
      <c r="L99" s="648"/>
      <c r="M99" s="536"/>
    </row>
    <row r="100" spans="1:13" ht="12.75">
      <c r="A100" s="646" t="s">
        <v>251</v>
      </c>
      <c r="B100" s="648">
        <v>144936.5</v>
      </c>
      <c r="C100" s="648">
        <v>144936.5</v>
      </c>
      <c r="D100" s="648">
        <v>4448.54</v>
      </c>
      <c r="E100" s="648">
        <v>4448.54</v>
      </c>
      <c r="F100" s="649">
        <f t="shared" si="21"/>
        <v>0.0011784227403912034</v>
      </c>
      <c r="G100" s="649">
        <f t="shared" si="22"/>
        <v>140487.96</v>
      </c>
      <c r="H100" s="648">
        <v>4448.54</v>
      </c>
      <c r="I100" s="648">
        <v>4448.54</v>
      </c>
      <c r="J100" s="649">
        <f t="shared" si="23"/>
        <v>0</v>
      </c>
      <c r="K100" s="651">
        <f t="shared" si="24"/>
        <v>140487.96</v>
      </c>
      <c r="L100" s="648"/>
      <c r="M100" s="536"/>
    </row>
    <row r="101" spans="1:13" ht="12.75">
      <c r="A101" s="646" t="s">
        <v>252</v>
      </c>
      <c r="B101" s="648"/>
      <c r="C101" s="648"/>
      <c r="D101" s="648"/>
      <c r="E101" s="648"/>
      <c r="F101" s="649">
        <f t="shared" si="21"/>
        <v>0</v>
      </c>
      <c r="G101" s="649">
        <f t="shared" si="22"/>
        <v>0</v>
      </c>
      <c r="H101" s="648"/>
      <c r="I101" s="648"/>
      <c r="J101" s="649">
        <f t="shared" si="23"/>
        <v>0</v>
      </c>
      <c r="K101" s="651">
        <f t="shared" si="24"/>
        <v>0</v>
      </c>
      <c r="L101" s="648"/>
      <c r="M101" s="536"/>
    </row>
    <row r="102" spans="1:13" ht="12.75">
      <c r="A102" s="646" t="s">
        <v>181</v>
      </c>
      <c r="B102" s="648"/>
      <c r="C102" s="648"/>
      <c r="D102" s="648"/>
      <c r="E102" s="648"/>
      <c r="F102" s="649">
        <f t="shared" si="21"/>
        <v>0</v>
      </c>
      <c r="G102" s="649">
        <f t="shared" si="22"/>
        <v>0</v>
      </c>
      <c r="H102" s="648"/>
      <c r="I102" s="648"/>
      <c r="J102" s="649">
        <f t="shared" si="23"/>
        <v>0</v>
      </c>
      <c r="K102" s="651">
        <f t="shared" si="24"/>
        <v>0</v>
      </c>
      <c r="L102" s="648"/>
      <c r="M102" s="536"/>
    </row>
    <row r="103" spans="1:13" ht="12.75">
      <c r="A103" s="644" t="s">
        <v>253</v>
      </c>
      <c r="B103" s="645">
        <f>SUM(B104:B106)</f>
        <v>0</v>
      </c>
      <c r="C103" s="645">
        <f aca="true" t="shared" si="28" ref="C103:I103">SUM(C104:C106)</f>
        <v>0</v>
      </c>
      <c r="D103" s="645">
        <f t="shared" si="28"/>
        <v>0</v>
      </c>
      <c r="E103" s="645">
        <f t="shared" si="28"/>
        <v>0</v>
      </c>
      <c r="F103" s="645">
        <f t="shared" si="21"/>
        <v>0</v>
      </c>
      <c r="G103" s="645">
        <f t="shared" si="22"/>
        <v>0</v>
      </c>
      <c r="H103" s="645">
        <f t="shared" si="28"/>
        <v>0</v>
      </c>
      <c r="I103" s="645">
        <f t="shared" si="28"/>
        <v>0</v>
      </c>
      <c r="J103" s="645">
        <f t="shared" si="23"/>
        <v>0</v>
      </c>
      <c r="K103" s="645">
        <f t="shared" si="24"/>
        <v>0</v>
      </c>
      <c r="L103" s="645">
        <f>SUM(L104:L106)</f>
        <v>0</v>
      </c>
      <c r="M103" s="536"/>
    </row>
    <row r="104" spans="1:13" ht="12.75">
      <c r="A104" s="646" t="s">
        <v>254</v>
      </c>
      <c r="B104" s="648"/>
      <c r="C104" s="648"/>
      <c r="D104" s="648"/>
      <c r="E104" s="648"/>
      <c r="F104" s="649">
        <f t="shared" si="21"/>
        <v>0</v>
      </c>
      <c r="G104" s="649">
        <f t="shared" si="22"/>
        <v>0</v>
      </c>
      <c r="H104" s="648"/>
      <c r="I104" s="648"/>
      <c r="J104" s="649">
        <f t="shared" si="23"/>
        <v>0</v>
      </c>
      <c r="K104" s="651">
        <f t="shared" si="24"/>
        <v>0</v>
      </c>
      <c r="L104" s="648"/>
      <c r="M104" s="536"/>
    </row>
    <row r="105" spans="1:13" ht="12.75">
      <c r="A105" s="646" t="s">
        <v>255</v>
      </c>
      <c r="B105" s="648"/>
      <c r="C105" s="648"/>
      <c r="D105" s="648"/>
      <c r="E105" s="648"/>
      <c r="F105" s="649">
        <f t="shared" si="21"/>
        <v>0</v>
      </c>
      <c r="G105" s="649">
        <f t="shared" si="22"/>
        <v>0</v>
      </c>
      <c r="H105" s="648"/>
      <c r="I105" s="648"/>
      <c r="J105" s="649">
        <f t="shared" si="23"/>
        <v>0</v>
      </c>
      <c r="K105" s="651">
        <f t="shared" si="24"/>
        <v>0</v>
      </c>
      <c r="L105" s="648"/>
      <c r="M105" s="536"/>
    </row>
    <row r="106" spans="1:13" ht="12.75">
      <c r="A106" s="646" t="s">
        <v>181</v>
      </c>
      <c r="B106" s="648"/>
      <c r="C106" s="648"/>
      <c r="D106" s="648"/>
      <c r="E106" s="648"/>
      <c r="F106" s="649">
        <f t="shared" si="21"/>
        <v>0</v>
      </c>
      <c r="G106" s="649">
        <f t="shared" si="22"/>
        <v>0</v>
      </c>
      <c r="H106" s="648"/>
      <c r="I106" s="648"/>
      <c r="J106" s="649">
        <f t="shared" si="23"/>
        <v>0</v>
      </c>
      <c r="K106" s="651">
        <f t="shared" si="24"/>
        <v>0</v>
      </c>
      <c r="L106" s="648"/>
      <c r="M106" s="536"/>
    </row>
    <row r="107" spans="1:13" ht="12.75">
      <c r="A107" s="644" t="s">
        <v>256</v>
      </c>
      <c r="B107" s="645">
        <f>SUM(B108:B110)</f>
        <v>379634.25</v>
      </c>
      <c r="C107" s="645">
        <f aca="true" t="shared" si="29" ref="C107:I107">SUM(C108:C110)</f>
        <v>379634.25</v>
      </c>
      <c r="D107" s="645">
        <f t="shared" si="29"/>
        <v>0</v>
      </c>
      <c r="E107" s="645">
        <f t="shared" si="29"/>
        <v>0</v>
      </c>
      <c r="F107" s="645">
        <f t="shared" si="21"/>
        <v>0</v>
      </c>
      <c r="G107" s="645">
        <f t="shared" si="22"/>
        <v>379634.25</v>
      </c>
      <c r="H107" s="645">
        <f t="shared" si="29"/>
        <v>0</v>
      </c>
      <c r="I107" s="645">
        <f t="shared" si="29"/>
        <v>0</v>
      </c>
      <c r="J107" s="645">
        <f t="shared" si="23"/>
        <v>0</v>
      </c>
      <c r="K107" s="645">
        <f t="shared" si="24"/>
        <v>379634.25</v>
      </c>
      <c r="L107" s="645">
        <f>SUM(L108:L110)</f>
        <v>0</v>
      </c>
      <c r="M107" s="536"/>
    </row>
    <row r="108" spans="1:13" ht="12.75">
      <c r="A108" s="646" t="s">
        <v>257</v>
      </c>
      <c r="B108" s="648">
        <v>379634.25</v>
      </c>
      <c r="C108" s="648">
        <v>379634.25</v>
      </c>
      <c r="D108" s="648"/>
      <c r="E108" s="648"/>
      <c r="F108" s="649">
        <f t="shared" si="21"/>
        <v>0</v>
      </c>
      <c r="G108" s="649">
        <f t="shared" si="22"/>
        <v>379634.25</v>
      </c>
      <c r="H108" s="648"/>
      <c r="I108" s="648"/>
      <c r="J108" s="649">
        <f t="shared" si="23"/>
        <v>0</v>
      </c>
      <c r="K108" s="651">
        <f t="shared" si="24"/>
        <v>379634.25</v>
      </c>
      <c r="L108" s="648"/>
      <c r="M108" s="536"/>
    </row>
    <row r="109" spans="1:13" ht="12.75">
      <c r="A109" s="646" t="s">
        <v>258</v>
      </c>
      <c r="B109" s="648"/>
      <c r="C109" s="648"/>
      <c r="D109" s="648"/>
      <c r="E109" s="648"/>
      <c r="F109" s="649">
        <f t="shared" si="21"/>
        <v>0</v>
      </c>
      <c r="G109" s="649">
        <f t="shared" si="22"/>
        <v>0</v>
      </c>
      <c r="H109" s="648"/>
      <c r="I109" s="648"/>
      <c r="J109" s="649">
        <f t="shared" si="23"/>
        <v>0</v>
      </c>
      <c r="K109" s="651">
        <f t="shared" si="24"/>
        <v>0</v>
      </c>
      <c r="L109" s="648"/>
      <c r="M109" s="536"/>
    </row>
    <row r="110" spans="1:13" ht="12.75">
      <c r="A110" s="646" t="s">
        <v>181</v>
      </c>
      <c r="B110" s="648"/>
      <c r="C110" s="648"/>
      <c r="D110" s="648"/>
      <c r="E110" s="648"/>
      <c r="F110" s="649">
        <f t="shared" si="21"/>
        <v>0</v>
      </c>
      <c r="G110" s="649">
        <f t="shared" si="22"/>
        <v>0</v>
      </c>
      <c r="H110" s="648"/>
      <c r="I110" s="648"/>
      <c r="J110" s="649">
        <f t="shared" si="23"/>
        <v>0</v>
      </c>
      <c r="K110" s="651">
        <f t="shared" si="24"/>
        <v>0</v>
      </c>
      <c r="L110" s="648"/>
      <c r="M110" s="536"/>
    </row>
    <row r="111" spans="1:13" ht="12.75">
      <c r="A111" s="644" t="s">
        <v>259</v>
      </c>
      <c r="B111" s="650">
        <f>SUM(B112:B117)</f>
        <v>694065.25</v>
      </c>
      <c r="C111" s="650">
        <f aca="true" t="shared" si="30" ref="C111:I111">SUM(C112:C117)</f>
        <v>694065.25</v>
      </c>
      <c r="D111" s="650">
        <f t="shared" si="30"/>
        <v>0</v>
      </c>
      <c r="E111" s="650">
        <f t="shared" si="30"/>
        <v>0</v>
      </c>
      <c r="F111" s="650">
        <f t="shared" si="21"/>
        <v>0</v>
      </c>
      <c r="G111" s="650">
        <f t="shared" si="22"/>
        <v>694065.25</v>
      </c>
      <c r="H111" s="650">
        <f t="shared" si="30"/>
        <v>0</v>
      </c>
      <c r="I111" s="650">
        <f t="shared" si="30"/>
        <v>0</v>
      </c>
      <c r="J111" s="650">
        <f t="shared" si="23"/>
        <v>0</v>
      </c>
      <c r="K111" s="650">
        <f t="shared" si="24"/>
        <v>694065.25</v>
      </c>
      <c r="L111" s="650">
        <f>SUM(L112:L117)</f>
        <v>0</v>
      </c>
      <c r="M111" s="536"/>
    </row>
    <row r="112" spans="1:13" ht="12.75">
      <c r="A112" s="646" t="s">
        <v>260</v>
      </c>
      <c r="B112" s="648">
        <v>694065.25</v>
      </c>
      <c r="C112" s="648">
        <v>694065.25</v>
      </c>
      <c r="D112" s="648"/>
      <c r="E112" s="648"/>
      <c r="F112" s="649">
        <f t="shared" si="21"/>
        <v>0</v>
      </c>
      <c r="G112" s="649">
        <f t="shared" si="22"/>
        <v>694065.25</v>
      </c>
      <c r="H112" s="648"/>
      <c r="I112" s="648"/>
      <c r="J112" s="649">
        <f t="shared" si="23"/>
        <v>0</v>
      </c>
      <c r="K112" s="651">
        <f t="shared" si="24"/>
        <v>694065.25</v>
      </c>
      <c r="L112" s="648"/>
      <c r="M112" s="536"/>
    </row>
    <row r="113" spans="1:13" ht="12.75">
      <c r="A113" s="646" t="s">
        <v>261</v>
      </c>
      <c r="B113" s="648"/>
      <c r="C113" s="648"/>
      <c r="D113" s="648"/>
      <c r="E113" s="648"/>
      <c r="F113" s="649">
        <f t="shared" si="21"/>
        <v>0</v>
      </c>
      <c r="G113" s="649">
        <f t="shared" si="22"/>
        <v>0</v>
      </c>
      <c r="H113" s="648"/>
      <c r="I113" s="648"/>
      <c r="J113" s="649">
        <f t="shared" si="23"/>
        <v>0</v>
      </c>
      <c r="K113" s="651">
        <f t="shared" si="24"/>
        <v>0</v>
      </c>
      <c r="L113" s="648"/>
      <c r="M113" s="536"/>
    </row>
    <row r="114" spans="1:13" ht="12.75">
      <c r="A114" s="646" t="s">
        <v>262</v>
      </c>
      <c r="B114" s="648"/>
      <c r="C114" s="648"/>
      <c r="D114" s="648"/>
      <c r="E114" s="648"/>
      <c r="F114" s="649">
        <f t="shared" si="21"/>
        <v>0</v>
      </c>
      <c r="G114" s="649">
        <f t="shared" si="22"/>
        <v>0</v>
      </c>
      <c r="H114" s="648"/>
      <c r="I114" s="648"/>
      <c r="J114" s="649">
        <f t="shared" si="23"/>
        <v>0</v>
      </c>
      <c r="K114" s="651">
        <f t="shared" si="24"/>
        <v>0</v>
      </c>
      <c r="L114" s="648"/>
      <c r="M114" s="536"/>
    </row>
    <row r="115" spans="1:13" ht="12.75">
      <c r="A115" s="646" t="s">
        <v>263</v>
      </c>
      <c r="B115" s="648"/>
      <c r="C115" s="648"/>
      <c r="D115" s="648"/>
      <c r="E115" s="648"/>
      <c r="F115" s="649">
        <f t="shared" si="21"/>
        <v>0</v>
      </c>
      <c r="G115" s="649">
        <f t="shared" si="22"/>
        <v>0</v>
      </c>
      <c r="H115" s="648"/>
      <c r="I115" s="648"/>
      <c r="J115" s="649">
        <f t="shared" si="23"/>
        <v>0</v>
      </c>
      <c r="K115" s="651">
        <f t="shared" si="24"/>
        <v>0</v>
      </c>
      <c r="L115" s="648"/>
      <c r="M115" s="536"/>
    </row>
    <row r="116" spans="1:13" ht="12.75">
      <c r="A116" s="646" t="s">
        <v>264</v>
      </c>
      <c r="B116" s="648"/>
      <c r="C116" s="648"/>
      <c r="D116" s="648"/>
      <c r="E116" s="648"/>
      <c r="F116" s="649">
        <f t="shared" si="21"/>
        <v>0</v>
      </c>
      <c r="G116" s="649">
        <f t="shared" si="22"/>
        <v>0</v>
      </c>
      <c r="H116" s="648"/>
      <c r="I116" s="648"/>
      <c r="J116" s="649">
        <f t="shared" si="23"/>
        <v>0</v>
      </c>
      <c r="K116" s="651">
        <f t="shared" si="24"/>
        <v>0</v>
      </c>
      <c r="L116" s="648"/>
      <c r="M116" s="536"/>
    </row>
    <row r="117" spans="1:13" ht="12.75">
      <c r="A117" s="646" t="s">
        <v>181</v>
      </c>
      <c r="B117" s="648"/>
      <c r="C117" s="648"/>
      <c r="D117" s="648"/>
      <c r="E117" s="648"/>
      <c r="F117" s="649">
        <f t="shared" si="21"/>
        <v>0</v>
      </c>
      <c r="G117" s="649">
        <f t="shared" si="22"/>
        <v>0</v>
      </c>
      <c r="H117" s="648"/>
      <c r="I117" s="648"/>
      <c r="J117" s="649">
        <f t="shared" si="23"/>
        <v>0</v>
      </c>
      <c r="K117" s="651">
        <f t="shared" si="24"/>
        <v>0</v>
      </c>
      <c r="L117" s="648"/>
      <c r="M117" s="536"/>
    </row>
    <row r="118" spans="1:13" ht="12.75">
      <c r="A118" s="644" t="s">
        <v>265</v>
      </c>
      <c r="B118" s="650">
        <f>SUM(B119:B122)</f>
        <v>0</v>
      </c>
      <c r="C118" s="650">
        <f aca="true" t="shared" si="31" ref="C118:I118">SUM(C119:C122)</f>
        <v>0</v>
      </c>
      <c r="D118" s="650">
        <f t="shared" si="31"/>
        <v>0</v>
      </c>
      <c r="E118" s="650">
        <f t="shared" si="31"/>
        <v>0</v>
      </c>
      <c r="F118" s="650">
        <f t="shared" si="21"/>
        <v>0</v>
      </c>
      <c r="G118" s="650">
        <f t="shared" si="22"/>
        <v>0</v>
      </c>
      <c r="H118" s="650">
        <f t="shared" si="31"/>
        <v>0</v>
      </c>
      <c r="I118" s="650">
        <f t="shared" si="31"/>
        <v>0</v>
      </c>
      <c r="J118" s="650">
        <f t="shared" si="23"/>
        <v>0</v>
      </c>
      <c r="K118" s="650">
        <f t="shared" si="24"/>
        <v>0</v>
      </c>
      <c r="L118" s="650">
        <f>SUM(L119:L122)</f>
        <v>0</v>
      </c>
      <c r="M118" s="536"/>
    </row>
    <row r="119" spans="1:13" ht="12.75">
      <c r="A119" s="646" t="s">
        <v>266</v>
      </c>
      <c r="B119" s="648"/>
      <c r="C119" s="648"/>
      <c r="D119" s="648"/>
      <c r="E119" s="648"/>
      <c r="F119" s="649">
        <f t="shared" si="21"/>
        <v>0</v>
      </c>
      <c r="G119" s="649">
        <f t="shared" si="22"/>
        <v>0</v>
      </c>
      <c r="H119" s="648"/>
      <c r="I119" s="648"/>
      <c r="J119" s="649">
        <f t="shared" si="23"/>
        <v>0</v>
      </c>
      <c r="K119" s="651">
        <f t="shared" si="24"/>
        <v>0</v>
      </c>
      <c r="L119" s="648"/>
      <c r="M119" s="536"/>
    </row>
    <row r="120" spans="1:13" ht="12.75">
      <c r="A120" s="646" t="s">
        <v>267</v>
      </c>
      <c r="B120" s="648"/>
      <c r="C120" s="648"/>
      <c r="D120" s="648"/>
      <c r="E120" s="648"/>
      <c r="F120" s="649">
        <f t="shared" si="21"/>
        <v>0</v>
      </c>
      <c r="G120" s="649">
        <f t="shared" si="22"/>
        <v>0</v>
      </c>
      <c r="H120" s="648"/>
      <c r="I120" s="648"/>
      <c r="J120" s="649">
        <f t="shared" si="23"/>
        <v>0</v>
      </c>
      <c r="K120" s="651">
        <f t="shared" si="24"/>
        <v>0</v>
      </c>
      <c r="L120" s="648"/>
      <c r="M120" s="536"/>
    </row>
    <row r="121" spans="1:13" ht="12.75">
      <c r="A121" s="646" t="s">
        <v>268</v>
      </c>
      <c r="B121" s="648"/>
      <c r="C121" s="648"/>
      <c r="D121" s="648"/>
      <c r="E121" s="648"/>
      <c r="F121" s="649">
        <f t="shared" si="21"/>
        <v>0</v>
      </c>
      <c r="G121" s="649">
        <f t="shared" si="22"/>
        <v>0</v>
      </c>
      <c r="H121" s="648"/>
      <c r="I121" s="648"/>
      <c r="J121" s="649">
        <f t="shared" si="23"/>
        <v>0</v>
      </c>
      <c r="K121" s="651">
        <f t="shared" si="24"/>
        <v>0</v>
      </c>
      <c r="L121" s="648"/>
      <c r="M121" s="536"/>
    </row>
    <row r="122" spans="1:13" ht="12.75">
      <c r="A122" s="646" t="s">
        <v>181</v>
      </c>
      <c r="B122" s="648"/>
      <c r="C122" s="648"/>
      <c r="D122" s="648"/>
      <c r="E122" s="648"/>
      <c r="F122" s="649">
        <f t="shared" si="21"/>
        <v>0</v>
      </c>
      <c r="G122" s="649">
        <f t="shared" si="22"/>
        <v>0</v>
      </c>
      <c r="H122" s="648"/>
      <c r="I122" s="648"/>
      <c r="J122" s="649">
        <f t="shared" si="23"/>
        <v>0</v>
      </c>
      <c r="K122" s="651">
        <f t="shared" si="24"/>
        <v>0</v>
      </c>
      <c r="L122" s="648"/>
      <c r="M122" s="536"/>
    </row>
    <row r="123" spans="1:13" ht="12.75">
      <c r="A123" s="644" t="s">
        <v>269</v>
      </c>
      <c r="B123" s="650">
        <f>SUM(B124:B129)</f>
        <v>1370360.1400000001</v>
      </c>
      <c r="C123" s="650">
        <f aca="true" t="shared" si="32" ref="C123:I123">SUM(C124:C129)</f>
        <v>1370360.1400000001</v>
      </c>
      <c r="D123" s="650">
        <f t="shared" si="32"/>
        <v>17117.8</v>
      </c>
      <c r="E123" s="650">
        <f t="shared" si="32"/>
        <v>17117.8</v>
      </c>
      <c r="F123" s="650">
        <f t="shared" si="21"/>
        <v>0.004534522514233555</v>
      </c>
      <c r="G123" s="650">
        <f t="shared" si="22"/>
        <v>1353242.34</v>
      </c>
      <c r="H123" s="650">
        <f t="shared" si="32"/>
        <v>17117.8</v>
      </c>
      <c r="I123" s="650">
        <f t="shared" si="32"/>
        <v>17117.8</v>
      </c>
      <c r="J123" s="650">
        <f t="shared" si="23"/>
        <v>0</v>
      </c>
      <c r="K123" s="650">
        <f t="shared" si="24"/>
        <v>1353242.34</v>
      </c>
      <c r="L123" s="650">
        <f>SUM(L124:L129)</f>
        <v>0</v>
      </c>
      <c r="M123" s="536"/>
    </row>
    <row r="124" spans="1:13" ht="12.75">
      <c r="A124" s="646" t="s">
        <v>270</v>
      </c>
      <c r="B124" s="648">
        <v>216384</v>
      </c>
      <c r="C124" s="648">
        <v>216384</v>
      </c>
      <c r="D124" s="648"/>
      <c r="E124" s="648"/>
      <c r="F124" s="649">
        <f t="shared" si="21"/>
        <v>0</v>
      </c>
      <c r="G124" s="649">
        <f t="shared" si="22"/>
        <v>216384</v>
      </c>
      <c r="H124" s="648"/>
      <c r="I124" s="648"/>
      <c r="J124" s="649">
        <f>IF(I294="",0,IF(I294=0,0,I124/I$181))</f>
        <v>0</v>
      </c>
      <c r="K124" s="651">
        <f t="shared" si="24"/>
        <v>216384</v>
      </c>
      <c r="L124" s="648"/>
      <c r="M124" s="536"/>
    </row>
    <row r="125" spans="1:13" ht="12.75">
      <c r="A125" s="646" t="s">
        <v>271</v>
      </c>
      <c r="B125" s="648">
        <v>107548</v>
      </c>
      <c r="C125" s="648">
        <v>107548</v>
      </c>
      <c r="D125" s="648"/>
      <c r="E125" s="648"/>
      <c r="F125" s="649">
        <f t="shared" si="21"/>
        <v>0</v>
      </c>
      <c r="G125" s="649">
        <f t="shared" si="22"/>
        <v>107548</v>
      </c>
      <c r="H125" s="648"/>
      <c r="I125" s="648"/>
      <c r="J125" s="649">
        <f>IF(I295="",0,IF(I295=0,0,I125/I$181))</f>
        <v>0</v>
      </c>
      <c r="K125" s="651">
        <f t="shared" si="24"/>
        <v>107548</v>
      </c>
      <c r="L125" s="648"/>
      <c r="M125" s="536"/>
    </row>
    <row r="126" spans="1:13" ht="12.75">
      <c r="A126" s="646" t="s">
        <v>272</v>
      </c>
      <c r="B126" s="648"/>
      <c r="C126" s="648"/>
      <c r="D126" s="648"/>
      <c r="E126" s="648"/>
      <c r="F126" s="649">
        <f t="shared" si="21"/>
        <v>0</v>
      </c>
      <c r="G126" s="649">
        <f t="shared" si="22"/>
        <v>0</v>
      </c>
      <c r="H126" s="648"/>
      <c r="I126" s="648"/>
      <c r="J126" s="649">
        <f>IF(I296="",0,IF(I296=0,0,I126/I$181))</f>
        <v>0</v>
      </c>
      <c r="K126" s="651">
        <f t="shared" si="24"/>
        <v>0</v>
      </c>
      <c r="L126" s="648"/>
      <c r="M126" s="536"/>
    </row>
    <row r="127" spans="1:13" ht="12.75">
      <c r="A127" s="646" t="s">
        <v>273</v>
      </c>
      <c r="B127" s="648"/>
      <c r="C127" s="648"/>
      <c r="D127" s="648"/>
      <c r="E127" s="648"/>
      <c r="F127" s="649"/>
      <c r="G127" s="649"/>
      <c r="H127" s="648"/>
      <c r="I127" s="648"/>
      <c r="J127" s="649"/>
      <c r="K127" s="651"/>
      <c r="L127" s="648"/>
      <c r="M127" s="536"/>
    </row>
    <row r="128" spans="1:13" ht="12.75">
      <c r="A128" s="646" t="s">
        <v>274</v>
      </c>
      <c r="B128" s="648"/>
      <c r="C128" s="648"/>
      <c r="D128" s="648"/>
      <c r="E128" s="648"/>
      <c r="F128" s="649"/>
      <c r="G128" s="649"/>
      <c r="H128" s="648"/>
      <c r="I128" s="648"/>
      <c r="J128" s="649"/>
      <c r="K128" s="651"/>
      <c r="L128" s="648"/>
      <c r="M128" s="536"/>
    </row>
    <row r="129" spans="1:13" ht="12.75">
      <c r="A129" s="646" t="s">
        <v>181</v>
      </c>
      <c r="B129" s="648">
        <v>1046428.14</v>
      </c>
      <c r="C129" s="648">
        <v>1046428.14</v>
      </c>
      <c r="D129" s="648">
        <v>17117.8</v>
      </c>
      <c r="E129" s="648">
        <v>17117.8</v>
      </c>
      <c r="F129" s="649">
        <f aca="true" t="shared" si="33" ref="F129:F140">IF(E$181="",0,IF(E$181=0,0,E129/E$181))</f>
        <v>0.004534522514233555</v>
      </c>
      <c r="G129" s="649">
        <f aca="true" t="shared" si="34" ref="G129:G140">+C129-E129</f>
        <v>1029310.34</v>
      </c>
      <c r="H129" s="648">
        <v>17117.8</v>
      </c>
      <c r="I129" s="648">
        <v>17117.8</v>
      </c>
      <c r="J129" s="649">
        <f aca="true" t="shared" si="35" ref="J129:J140">IF(I297="",0,IF(I297=0,0,I129/I$181))</f>
        <v>0</v>
      </c>
      <c r="K129" s="651">
        <f aca="true" t="shared" si="36" ref="K129:K140">+C129-I129</f>
        <v>1029310.34</v>
      </c>
      <c r="L129" s="648"/>
      <c r="M129" s="536"/>
    </row>
    <row r="130" spans="1:13" ht="12.75">
      <c r="A130" s="644" t="s">
        <v>275</v>
      </c>
      <c r="B130" s="650">
        <f>SUM(B131:B132)</f>
        <v>0</v>
      </c>
      <c r="C130" s="650">
        <f aca="true" t="shared" si="37" ref="C130:I130">SUM(C131:C132)</f>
        <v>0</v>
      </c>
      <c r="D130" s="650">
        <f t="shared" si="37"/>
        <v>0</v>
      </c>
      <c r="E130" s="650">
        <f t="shared" si="37"/>
        <v>0</v>
      </c>
      <c r="F130" s="650">
        <f t="shared" si="33"/>
        <v>0</v>
      </c>
      <c r="G130" s="650">
        <f t="shared" si="34"/>
        <v>0</v>
      </c>
      <c r="H130" s="650">
        <f t="shared" si="37"/>
        <v>0</v>
      </c>
      <c r="I130" s="650">
        <f t="shared" si="37"/>
        <v>0</v>
      </c>
      <c r="J130" s="650">
        <f t="shared" si="35"/>
        <v>0</v>
      </c>
      <c r="K130" s="650">
        <f t="shared" si="36"/>
        <v>0</v>
      </c>
      <c r="L130" s="650">
        <f>SUM(L131:L132)</f>
        <v>0</v>
      </c>
      <c r="M130" s="536"/>
    </row>
    <row r="131" spans="1:13" ht="12.75">
      <c r="A131" s="646" t="s">
        <v>276</v>
      </c>
      <c r="B131" s="648"/>
      <c r="C131" s="648"/>
      <c r="D131" s="648"/>
      <c r="E131" s="648"/>
      <c r="F131" s="649">
        <f t="shared" si="33"/>
        <v>0</v>
      </c>
      <c r="G131" s="649">
        <f t="shared" si="34"/>
        <v>0</v>
      </c>
      <c r="H131" s="648"/>
      <c r="I131" s="648"/>
      <c r="J131" s="649">
        <f t="shared" si="35"/>
        <v>0</v>
      </c>
      <c r="K131" s="651">
        <f t="shared" si="36"/>
        <v>0</v>
      </c>
      <c r="L131" s="648"/>
      <c r="M131" s="536"/>
    </row>
    <row r="132" spans="1:13" ht="12.75">
      <c r="A132" s="646" t="s">
        <v>277</v>
      </c>
      <c r="B132" s="648"/>
      <c r="C132" s="648"/>
      <c r="D132" s="648"/>
      <c r="E132" s="648"/>
      <c r="F132" s="649">
        <f t="shared" si="33"/>
        <v>0</v>
      </c>
      <c r="G132" s="649">
        <f t="shared" si="34"/>
        <v>0</v>
      </c>
      <c r="H132" s="648"/>
      <c r="I132" s="648"/>
      <c r="J132" s="649">
        <f t="shared" si="35"/>
        <v>0</v>
      </c>
      <c r="K132" s="651">
        <f t="shared" si="36"/>
        <v>0</v>
      </c>
      <c r="L132" s="648"/>
      <c r="M132" s="536"/>
    </row>
    <row r="133" spans="1:13" ht="12.75">
      <c r="A133" s="644" t="s">
        <v>278</v>
      </c>
      <c r="B133" s="650">
        <f>SUM(B134:B139)</f>
        <v>0</v>
      </c>
      <c r="C133" s="650">
        <f aca="true" t="shared" si="38" ref="C133:I133">SUM(C134:C139)</f>
        <v>0</v>
      </c>
      <c r="D133" s="650">
        <f t="shared" si="38"/>
        <v>0</v>
      </c>
      <c r="E133" s="650">
        <f t="shared" si="38"/>
        <v>0</v>
      </c>
      <c r="F133" s="650">
        <f t="shared" si="33"/>
        <v>0</v>
      </c>
      <c r="G133" s="650">
        <f t="shared" si="34"/>
        <v>0</v>
      </c>
      <c r="H133" s="650">
        <f t="shared" si="38"/>
        <v>0</v>
      </c>
      <c r="I133" s="650">
        <f t="shared" si="38"/>
        <v>0</v>
      </c>
      <c r="J133" s="650">
        <f t="shared" si="35"/>
        <v>0</v>
      </c>
      <c r="K133" s="650">
        <f t="shared" si="36"/>
        <v>0</v>
      </c>
      <c r="L133" s="650">
        <f>SUM(L134:L139)</f>
        <v>0</v>
      </c>
      <c r="M133" s="536"/>
    </row>
    <row r="134" spans="1:13" ht="12.75">
      <c r="A134" s="646" t="s">
        <v>279</v>
      </c>
      <c r="B134" s="648"/>
      <c r="C134" s="648"/>
      <c r="D134" s="648"/>
      <c r="E134" s="648"/>
      <c r="F134" s="649">
        <f t="shared" si="33"/>
        <v>0</v>
      </c>
      <c r="G134" s="649">
        <f t="shared" si="34"/>
        <v>0</v>
      </c>
      <c r="H134" s="648"/>
      <c r="I134" s="648"/>
      <c r="J134" s="649">
        <f t="shared" si="35"/>
        <v>0</v>
      </c>
      <c r="K134" s="651">
        <f t="shared" si="36"/>
        <v>0</v>
      </c>
      <c r="L134" s="648"/>
      <c r="M134" s="536"/>
    </row>
    <row r="135" spans="1:13" ht="12.75">
      <c r="A135" s="646" t="s">
        <v>280</v>
      </c>
      <c r="B135" s="648"/>
      <c r="C135" s="648"/>
      <c r="D135" s="648"/>
      <c r="E135" s="648"/>
      <c r="F135" s="649">
        <f t="shared" si="33"/>
        <v>0</v>
      </c>
      <c r="G135" s="649">
        <f t="shared" si="34"/>
        <v>0</v>
      </c>
      <c r="H135" s="648"/>
      <c r="I135" s="648"/>
      <c r="J135" s="649">
        <f t="shared" si="35"/>
        <v>0</v>
      </c>
      <c r="K135" s="651">
        <f t="shared" si="36"/>
        <v>0</v>
      </c>
      <c r="L135" s="648"/>
      <c r="M135" s="536"/>
    </row>
    <row r="136" spans="1:13" ht="12.75">
      <c r="A136" s="646" t="s">
        <v>281</v>
      </c>
      <c r="B136" s="648"/>
      <c r="C136" s="648"/>
      <c r="D136" s="648"/>
      <c r="E136" s="648"/>
      <c r="F136" s="649">
        <f t="shared" si="33"/>
        <v>0</v>
      </c>
      <c r="G136" s="649">
        <f t="shared" si="34"/>
        <v>0</v>
      </c>
      <c r="H136" s="648"/>
      <c r="I136" s="648"/>
      <c r="J136" s="649">
        <f t="shared" si="35"/>
        <v>0</v>
      </c>
      <c r="K136" s="651">
        <f t="shared" si="36"/>
        <v>0</v>
      </c>
      <c r="L136" s="648"/>
      <c r="M136" s="536"/>
    </row>
    <row r="137" spans="1:13" ht="12.75">
      <c r="A137" s="646" t="s">
        <v>282</v>
      </c>
      <c r="B137" s="648"/>
      <c r="C137" s="648"/>
      <c r="D137" s="648"/>
      <c r="E137" s="648"/>
      <c r="F137" s="649">
        <f t="shared" si="33"/>
        <v>0</v>
      </c>
      <c r="G137" s="649">
        <f t="shared" si="34"/>
        <v>0</v>
      </c>
      <c r="H137" s="648"/>
      <c r="I137" s="648"/>
      <c r="J137" s="649">
        <f t="shared" si="35"/>
        <v>0</v>
      </c>
      <c r="K137" s="651">
        <f t="shared" si="36"/>
        <v>0</v>
      </c>
      <c r="L137" s="648"/>
      <c r="M137" s="536"/>
    </row>
    <row r="138" spans="1:13" ht="12.75">
      <c r="A138" s="646" t="s">
        <v>283</v>
      </c>
      <c r="B138" s="648"/>
      <c r="C138" s="648"/>
      <c r="D138" s="648"/>
      <c r="E138" s="648"/>
      <c r="F138" s="649">
        <f t="shared" si="33"/>
        <v>0</v>
      </c>
      <c r="G138" s="649">
        <f t="shared" si="34"/>
        <v>0</v>
      </c>
      <c r="H138" s="648"/>
      <c r="I138" s="648"/>
      <c r="J138" s="649">
        <f t="shared" si="35"/>
        <v>0</v>
      </c>
      <c r="K138" s="651">
        <f t="shared" si="36"/>
        <v>0</v>
      </c>
      <c r="L138" s="648"/>
      <c r="M138" s="536"/>
    </row>
    <row r="139" spans="1:13" ht="12.75">
      <c r="A139" s="646" t="s">
        <v>181</v>
      </c>
      <c r="B139" s="648"/>
      <c r="C139" s="648"/>
      <c r="D139" s="648"/>
      <c r="E139" s="648"/>
      <c r="F139" s="649">
        <f t="shared" si="33"/>
        <v>0</v>
      </c>
      <c r="G139" s="649">
        <f t="shared" si="34"/>
        <v>0</v>
      </c>
      <c r="H139" s="648"/>
      <c r="I139" s="648"/>
      <c r="J139" s="649">
        <f t="shared" si="35"/>
        <v>0</v>
      </c>
      <c r="K139" s="651">
        <f t="shared" si="36"/>
        <v>0</v>
      </c>
      <c r="L139" s="648"/>
      <c r="M139" s="536"/>
    </row>
    <row r="140" spans="1:13" ht="12.75">
      <c r="A140" s="644" t="s">
        <v>284</v>
      </c>
      <c r="B140" s="650">
        <f>SUM(B141:B146)</f>
        <v>0</v>
      </c>
      <c r="C140" s="650">
        <f aca="true" t="shared" si="39" ref="C140:I140">SUM(C141:C146)</f>
        <v>0</v>
      </c>
      <c r="D140" s="650">
        <f t="shared" si="39"/>
        <v>0</v>
      </c>
      <c r="E140" s="650">
        <f t="shared" si="39"/>
        <v>0</v>
      </c>
      <c r="F140" s="650">
        <f t="shared" si="33"/>
        <v>0</v>
      </c>
      <c r="G140" s="650">
        <f t="shared" si="34"/>
        <v>0</v>
      </c>
      <c r="H140" s="650">
        <f t="shared" si="39"/>
        <v>0</v>
      </c>
      <c r="I140" s="650">
        <f t="shared" si="39"/>
        <v>0</v>
      </c>
      <c r="J140" s="650">
        <f t="shared" si="35"/>
        <v>0</v>
      </c>
      <c r="K140" s="650">
        <f t="shared" si="36"/>
        <v>0</v>
      </c>
      <c r="L140" s="650">
        <f>SUM(L141:L146)</f>
        <v>0</v>
      </c>
      <c r="M140" s="536"/>
    </row>
    <row r="141" spans="1:13" ht="12.75">
      <c r="A141" s="646" t="s">
        <v>285</v>
      </c>
      <c r="B141" s="648"/>
      <c r="C141" s="648"/>
      <c r="D141" s="648"/>
      <c r="E141" s="648"/>
      <c r="F141" s="649">
        <f aca="true" t="shared" si="40" ref="F141:F177">IF(E$181="",0,IF(E$181=0,0,E141/E$181))</f>
        <v>0</v>
      </c>
      <c r="G141" s="649">
        <f aca="true" t="shared" si="41" ref="G141:G180">+C141-E141</f>
        <v>0</v>
      </c>
      <c r="H141" s="648"/>
      <c r="I141" s="648"/>
      <c r="J141" s="649">
        <f aca="true" t="shared" si="42" ref="J141:J177">IF(I309="",0,IF(I309=0,0,I141/I$181))</f>
        <v>0</v>
      </c>
      <c r="K141" s="651">
        <f aca="true" t="shared" si="43" ref="K141:K180">+C141-I141</f>
        <v>0</v>
      </c>
      <c r="L141" s="648"/>
      <c r="M141" s="536"/>
    </row>
    <row r="142" spans="1:13" ht="12.75">
      <c r="A142" s="646" t="s">
        <v>286</v>
      </c>
      <c r="B142" s="648"/>
      <c r="C142" s="648"/>
      <c r="D142" s="648"/>
      <c r="E142" s="648"/>
      <c r="F142" s="649">
        <f t="shared" si="40"/>
        <v>0</v>
      </c>
      <c r="G142" s="649">
        <f t="shared" si="41"/>
        <v>0</v>
      </c>
      <c r="H142" s="648"/>
      <c r="I142" s="648"/>
      <c r="J142" s="649">
        <f t="shared" si="42"/>
        <v>0</v>
      </c>
      <c r="K142" s="651">
        <f t="shared" si="43"/>
        <v>0</v>
      </c>
      <c r="L142" s="648"/>
      <c r="M142" s="536"/>
    </row>
    <row r="143" spans="1:13" ht="12.75">
      <c r="A143" s="646" t="s">
        <v>287</v>
      </c>
      <c r="B143" s="648"/>
      <c r="C143" s="648"/>
      <c r="D143" s="648"/>
      <c r="E143" s="648"/>
      <c r="F143" s="649">
        <f t="shared" si="40"/>
        <v>0</v>
      </c>
      <c r="G143" s="649">
        <f t="shared" si="41"/>
        <v>0</v>
      </c>
      <c r="H143" s="648"/>
      <c r="I143" s="648"/>
      <c r="J143" s="649">
        <f t="shared" si="42"/>
        <v>0</v>
      </c>
      <c r="K143" s="651">
        <f t="shared" si="43"/>
        <v>0</v>
      </c>
      <c r="L143" s="648"/>
      <c r="M143" s="536"/>
    </row>
    <row r="144" spans="1:13" ht="12.75">
      <c r="A144" s="646" t="s">
        <v>288</v>
      </c>
      <c r="B144" s="648"/>
      <c r="C144" s="648"/>
      <c r="D144" s="648"/>
      <c r="E144" s="648"/>
      <c r="F144" s="649">
        <f t="shared" si="40"/>
        <v>0</v>
      </c>
      <c r="G144" s="649">
        <f t="shared" si="41"/>
        <v>0</v>
      </c>
      <c r="H144" s="648"/>
      <c r="I144" s="648"/>
      <c r="J144" s="649">
        <f t="shared" si="42"/>
        <v>0</v>
      </c>
      <c r="K144" s="651">
        <f t="shared" si="43"/>
        <v>0</v>
      </c>
      <c r="L144" s="648"/>
      <c r="M144" s="536"/>
    </row>
    <row r="145" spans="1:13" ht="12.75">
      <c r="A145" s="646" t="s">
        <v>289</v>
      </c>
      <c r="B145" s="648"/>
      <c r="C145" s="648"/>
      <c r="D145" s="648"/>
      <c r="E145" s="648"/>
      <c r="F145" s="649">
        <f t="shared" si="40"/>
        <v>0</v>
      </c>
      <c r="G145" s="649">
        <f t="shared" si="41"/>
        <v>0</v>
      </c>
      <c r="H145" s="648"/>
      <c r="I145" s="648"/>
      <c r="J145" s="649">
        <f t="shared" si="42"/>
        <v>0</v>
      </c>
      <c r="K145" s="651">
        <f t="shared" si="43"/>
        <v>0</v>
      </c>
      <c r="L145" s="648"/>
      <c r="M145" s="536"/>
    </row>
    <row r="146" spans="1:13" ht="12.75">
      <c r="A146" s="646" t="s">
        <v>181</v>
      </c>
      <c r="B146" s="648"/>
      <c r="C146" s="648"/>
      <c r="D146" s="648"/>
      <c r="E146" s="648"/>
      <c r="F146" s="649">
        <f t="shared" si="40"/>
        <v>0</v>
      </c>
      <c r="G146" s="649">
        <f t="shared" si="41"/>
        <v>0</v>
      </c>
      <c r="H146" s="648"/>
      <c r="I146" s="648"/>
      <c r="J146" s="649">
        <f t="shared" si="42"/>
        <v>0</v>
      </c>
      <c r="K146" s="651">
        <f t="shared" si="43"/>
        <v>0</v>
      </c>
      <c r="L146" s="648"/>
      <c r="M146" s="536"/>
    </row>
    <row r="147" spans="1:13" ht="12.75">
      <c r="A147" s="644" t="s">
        <v>290</v>
      </c>
      <c r="B147" s="645">
        <f>SUM(B148:B150)</f>
        <v>0</v>
      </c>
      <c r="C147" s="645">
        <f aca="true" t="shared" si="44" ref="C147:I147">SUM(C148:C150)</f>
        <v>0</v>
      </c>
      <c r="D147" s="645">
        <f t="shared" si="44"/>
        <v>0</v>
      </c>
      <c r="E147" s="645">
        <f t="shared" si="44"/>
        <v>0</v>
      </c>
      <c r="F147" s="645">
        <f t="shared" si="40"/>
        <v>0</v>
      </c>
      <c r="G147" s="645">
        <f t="shared" si="41"/>
        <v>0</v>
      </c>
      <c r="H147" s="645">
        <f t="shared" si="44"/>
        <v>0</v>
      </c>
      <c r="I147" s="645">
        <f t="shared" si="44"/>
        <v>0</v>
      </c>
      <c r="J147" s="645">
        <f t="shared" si="42"/>
        <v>0</v>
      </c>
      <c r="K147" s="645">
        <f t="shared" si="43"/>
        <v>0</v>
      </c>
      <c r="L147" s="645">
        <f>SUM(L148:L150)</f>
        <v>0</v>
      </c>
      <c r="M147" s="536"/>
    </row>
    <row r="148" spans="1:13" ht="12.75">
      <c r="A148" s="646" t="s">
        <v>291</v>
      </c>
      <c r="B148" s="648"/>
      <c r="C148" s="648"/>
      <c r="D148" s="648"/>
      <c r="E148" s="648"/>
      <c r="F148" s="649">
        <f t="shared" si="40"/>
        <v>0</v>
      </c>
      <c r="G148" s="649">
        <f t="shared" si="41"/>
        <v>0</v>
      </c>
      <c r="H148" s="648"/>
      <c r="I148" s="648"/>
      <c r="J148" s="649">
        <f t="shared" si="42"/>
        <v>0</v>
      </c>
      <c r="K148" s="651">
        <f t="shared" si="43"/>
        <v>0</v>
      </c>
      <c r="L148" s="648"/>
      <c r="M148" s="536"/>
    </row>
    <row r="149" spans="1:13" ht="12.75">
      <c r="A149" s="646" t="s">
        <v>292</v>
      </c>
      <c r="B149" s="648"/>
      <c r="C149" s="648"/>
      <c r="D149" s="648"/>
      <c r="E149" s="648"/>
      <c r="F149" s="649">
        <f t="shared" si="40"/>
        <v>0</v>
      </c>
      <c r="G149" s="649">
        <f t="shared" si="41"/>
        <v>0</v>
      </c>
      <c r="H149" s="648"/>
      <c r="I149" s="648"/>
      <c r="J149" s="649">
        <f t="shared" si="42"/>
        <v>0</v>
      </c>
      <c r="K149" s="651">
        <f t="shared" si="43"/>
        <v>0</v>
      </c>
      <c r="L149" s="648"/>
      <c r="M149" s="536"/>
    </row>
    <row r="150" spans="1:13" ht="12.75">
      <c r="A150" s="646" t="s">
        <v>181</v>
      </c>
      <c r="B150" s="648"/>
      <c r="C150" s="648"/>
      <c r="D150" s="648"/>
      <c r="E150" s="648"/>
      <c r="F150" s="649">
        <f t="shared" si="40"/>
        <v>0</v>
      </c>
      <c r="G150" s="649">
        <f t="shared" si="41"/>
        <v>0</v>
      </c>
      <c r="H150" s="648"/>
      <c r="I150" s="648"/>
      <c r="J150" s="649">
        <f t="shared" si="42"/>
        <v>0</v>
      </c>
      <c r="K150" s="651">
        <f t="shared" si="43"/>
        <v>0</v>
      </c>
      <c r="L150" s="648"/>
      <c r="M150" s="536"/>
    </row>
    <row r="151" spans="1:13" ht="12.75">
      <c r="A151" s="644" t="s">
        <v>293</v>
      </c>
      <c r="B151" s="650">
        <f>SUM(B152:B156)</f>
        <v>0</v>
      </c>
      <c r="C151" s="650">
        <f aca="true" t="shared" si="45" ref="C151:I151">SUM(C152:C156)</f>
        <v>0</v>
      </c>
      <c r="D151" s="650">
        <f t="shared" si="45"/>
        <v>0</v>
      </c>
      <c r="E151" s="650">
        <f t="shared" si="45"/>
        <v>0</v>
      </c>
      <c r="F151" s="650">
        <f t="shared" si="40"/>
        <v>0</v>
      </c>
      <c r="G151" s="650">
        <f t="shared" si="41"/>
        <v>0</v>
      </c>
      <c r="H151" s="650">
        <f t="shared" si="45"/>
        <v>0</v>
      </c>
      <c r="I151" s="650">
        <f t="shared" si="45"/>
        <v>0</v>
      </c>
      <c r="J151" s="650">
        <f t="shared" si="42"/>
        <v>0</v>
      </c>
      <c r="K151" s="650">
        <f t="shared" si="43"/>
        <v>0</v>
      </c>
      <c r="L151" s="650">
        <f>SUM(L152:L156)</f>
        <v>0</v>
      </c>
      <c r="M151" s="536"/>
    </row>
    <row r="152" spans="1:13" ht="12.75">
      <c r="A152" s="646" t="s">
        <v>294</v>
      </c>
      <c r="B152" s="648"/>
      <c r="C152" s="648"/>
      <c r="D152" s="648"/>
      <c r="E152" s="648"/>
      <c r="F152" s="649">
        <f t="shared" si="40"/>
        <v>0</v>
      </c>
      <c r="G152" s="649">
        <f t="shared" si="41"/>
        <v>0</v>
      </c>
      <c r="H152" s="648"/>
      <c r="I152" s="648"/>
      <c r="J152" s="649">
        <f t="shared" si="42"/>
        <v>0</v>
      </c>
      <c r="K152" s="651">
        <f t="shared" si="43"/>
        <v>0</v>
      </c>
      <c r="L152" s="648"/>
      <c r="M152" s="536"/>
    </row>
    <row r="153" spans="1:13" ht="12.75">
      <c r="A153" s="646" t="s">
        <v>295</v>
      </c>
      <c r="B153" s="648"/>
      <c r="C153" s="648"/>
      <c r="D153" s="648"/>
      <c r="E153" s="648"/>
      <c r="F153" s="649">
        <f t="shared" si="40"/>
        <v>0</v>
      </c>
      <c r="G153" s="649">
        <f t="shared" si="41"/>
        <v>0</v>
      </c>
      <c r="H153" s="648"/>
      <c r="I153" s="648"/>
      <c r="J153" s="649">
        <f t="shared" si="42"/>
        <v>0</v>
      </c>
      <c r="K153" s="651">
        <f t="shared" si="43"/>
        <v>0</v>
      </c>
      <c r="L153" s="648"/>
      <c r="M153" s="536"/>
    </row>
    <row r="154" spans="1:13" ht="12.75">
      <c r="A154" s="646" t="s">
        <v>296</v>
      </c>
      <c r="B154" s="648"/>
      <c r="C154" s="648"/>
      <c r="D154" s="648"/>
      <c r="E154" s="648"/>
      <c r="F154" s="649">
        <f t="shared" si="40"/>
        <v>0</v>
      </c>
      <c r="G154" s="649">
        <f t="shared" si="41"/>
        <v>0</v>
      </c>
      <c r="H154" s="648"/>
      <c r="I154" s="648"/>
      <c r="J154" s="649">
        <f t="shared" si="42"/>
        <v>0</v>
      </c>
      <c r="K154" s="651">
        <f t="shared" si="43"/>
        <v>0</v>
      </c>
      <c r="L154" s="648"/>
      <c r="M154" s="536"/>
    </row>
    <row r="155" spans="1:13" ht="12.75">
      <c r="A155" s="646" t="s">
        <v>297</v>
      </c>
      <c r="B155" s="648"/>
      <c r="C155" s="648"/>
      <c r="D155" s="648"/>
      <c r="E155" s="648"/>
      <c r="F155" s="649">
        <f t="shared" si="40"/>
        <v>0</v>
      </c>
      <c r="G155" s="649">
        <f t="shared" si="41"/>
        <v>0</v>
      </c>
      <c r="H155" s="648"/>
      <c r="I155" s="648"/>
      <c r="J155" s="649">
        <f t="shared" si="42"/>
        <v>0</v>
      </c>
      <c r="K155" s="651">
        <f t="shared" si="43"/>
        <v>0</v>
      </c>
      <c r="L155" s="648"/>
      <c r="M155" s="536"/>
    </row>
    <row r="156" spans="1:13" ht="12.75">
      <c r="A156" s="646" t="s">
        <v>181</v>
      </c>
      <c r="B156" s="648"/>
      <c r="C156" s="648"/>
      <c r="D156" s="648"/>
      <c r="E156" s="648"/>
      <c r="F156" s="649">
        <f t="shared" si="40"/>
        <v>0</v>
      </c>
      <c r="G156" s="649">
        <f t="shared" si="41"/>
        <v>0</v>
      </c>
      <c r="H156" s="648"/>
      <c r="I156" s="648"/>
      <c r="J156" s="649">
        <f t="shared" si="42"/>
        <v>0</v>
      </c>
      <c r="K156" s="651">
        <f t="shared" si="43"/>
        <v>0</v>
      </c>
      <c r="L156" s="648"/>
      <c r="M156" s="536"/>
    </row>
    <row r="157" spans="1:13" ht="12.75">
      <c r="A157" s="644" t="s">
        <v>298</v>
      </c>
      <c r="B157" s="650">
        <f>SUM(B158:B163)</f>
        <v>570532.25</v>
      </c>
      <c r="C157" s="650">
        <f aca="true" t="shared" si="46" ref="C157:I157">SUM(C158:C163)</f>
        <v>570532.25</v>
      </c>
      <c r="D157" s="650">
        <f t="shared" si="46"/>
        <v>7187.88</v>
      </c>
      <c r="E157" s="650">
        <f t="shared" si="46"/>
        <v>7187.88</v>
      </c>
      <c r="F157" s="650">
        <f t="shared" si="40"/>
        <v>0.0019040766739656435</v>
      </c>
      <c r="G157" s="650">
        <f t="shared" si="41"/>
        <v>563344.37</v>
      </c>
      <c r="H157" s="650">
        <f t="shared" si="46"/>
        <v>7187.88</v>
      </c>
      <c r="I157" s="650">
        <f t="shared" si="46"/>
        <v>7187.88</v>
      </c>
      <c r="J157" s="650">
        <f t="shared" si="42"/>
        <v>0</v>
      </c>
      <c r="K157" s="650">
        <f t="shared" si="43"/>
        <v>563344.37</v>
      </c>
      <c r="L157" s="650">
        <f>SUM(L158:L163)</f>
        <v>0</v>
      </c>
      <c r="M157" s="536"/>
    </row>
    <row r="158" spans="1:13" ht="12.75">
      <c r="A158" s="646" t="s">
        <v>299</v>
      </c>
      <c r="B158" s="648"/>
      <c r="C158" s="648"/>
      <c r="D158" s="648"/>
      <c r="E158" s="648"/>
      <c r="F158" s="649">
        <f t="shared" si="40"/>
        <v>0</v>
      </c>
      <c r="G158" s="649">
        <f t="shared" si="41"/>
        <v>0</v>
      </c>
      <c r="H158" s="648"/>
      <c r="I158" s="648"/>
      <c r="J158" s="649">
        <f t="shared" si="42"/>
        <v>0</v>
      </c>
      <c r="K158" s="651">
        <f t="shared" si="43"/>
        <v>0</v>
      </c>
      <c r="L158" s="648"/>
      <c r="M158" s="536"/>
    </row>
    <row r="159" spans="1:13" ht="12.75">
      <c r="A159" s="646" t="s">
        <v>300</v>
      </c>
      <c r="B159" s="648">
        <v>570532.25</v>
      </c>
      <c r="C159" s="648">
        <v>570532.25</v>
      </c>
      <c r="D159" s="648">
        <v>7187.88</v>
      </c>
      <c r="E159" s="648">
        <v>7187.88</v>
      </c>
      <c r="F159" s="649">
        <f t="shared" si="40"/>
        <v>0.0019040766739656435</v>
      </c>
      <c r="G159" s="649">
        <f t="shared" si="41"/>
        <v>563344.37</v>
      </c>
      <c r="H159" s="648">
        <v>7187.88</v>
      </c>
      <c r="I159" s="648">
        <v>7187.88</v>
      </c>
      <c r="J159" s="649">
        <f t="shared" si="42"/>
        <v>0</v>
      </c>
      <c r="K159" s="651">
        <f t="shared" si="43"/>
        <v>563344.37</v>
      </c>
      <c r="L159" s="648"/>
      <c r="M159" s="536"/>
    </row>
    <row r="160" spans="1:13" ht="12.75">
      <c r="A160" s="646" t="s">
        <v>301</v>
      </c>
      <c r="B160" s="648"/>
      <c r="C160" s="648"/>
      <c r="D160" s="648"/>
      <c r="E160" s="648"/>
      <c r="F160" s="649">
        <f t="shared" si="40"/>
        <v>0</v>
      </c>
      <c r="G160" s="649">
        <f t="shared" si="41"/>
        <v>0</v>
      </c>
      <c r="H160" s="648"/>
      <c r="I160" s="648"/>
      <c r="J160" s="649">
        <f t="shared" si="42"/>
        <v>0</v>
      </c>
      <c r="K160" s="651">
        <f t="shared" si="43"/>
        <v>0</v>
      </c>
      <c r="L160" s="648"/>
      <c r="M160" s="536"/>
    </row>
    <row r="161" spans="1:13" ht="12.75">
      <c r="A161" s="646" t="s">
        <v>302</v>
      </c>
      <c r="B161" s="648"/>
      <c r="C161" s="648"/>
      <c r="D161" s="648"/>
      <c r="E161" s="648"/>
      <c r="F161" s="649">
        <f t="shared" si="40"/>
        <v>0</v>
      </c>
      <c r="G161" s="649">
        <f t="shared" si="41"/>
        <v>0</v>
      </c>
      <c r="H161" s="648"/>
      <c r="I161" s="648"/>
      <c r="J161" s="649">
        <f t="shared" si="42"/>
        <v>0</v>
      </c>
      <c r="K161" s="651">
        <f t="shared" si="43"/>
        <v>0</v>
      </c>
      <c r="L161" s="648"/>
      <c r="M161" s="536"/>
    </row>
    <row r="162" spans="1:13" ht="12.75">
      <c r="A162" s="646" t="s">
        <v>303</v>
      </c>
      <c r="B162" s="648"/>
      <c r="C162" s="648"/>
      <c r="D162" s="648"/>
      <c r="E162" s="648"/>
      <c r="F162" s="649">
        <f t="shared" si="40"/>
        <v>0</v>
      </c>
      <c r="G162" s="649">
        <f t="shared" si="41"/>
        <v>0</v>
      </c>
      <c r="H162" s="648"/>
      <c r="I162" s="648"/>
      <c r="J162" s="649">
        <f t="shared" si="42"/>
        <v>0</v>
      </c>
      <c r="K162" s="651">
        <f t="shared" si="43"/>
        <v>0</v>
      </c>
      <c r="L162" s="648"/>
      <c r="M162" s="536"/>
    </row>
    <row r="163" spans="1:13" ht="12.75">
      <c r="A163" s="646" t="s">
        <v>181</v>
      </c>
      <c r="B163" s="648"/>
      <c r="C163" s="648"/>
      <c r="D163" s="648"/>
      <c r="E163" s="648"/>
      <c r="F163" s="649">
        <f t="shared" si="40"/>
        <v>0</v>
      </c>
      <c r="G163" s="649">
        <f t="shared" si="41"/>
        <v>0</v>
      </c>
      <c r="H163" s="648"/>
      <c r="I163" s="648"/>
      <c r="J163" s="649">
        <f t="shared" si="42"/>
        <v>0</v>
      </c>
      <c r="K163" s="651">
        <f t="shared" si="43"/>
        <v>0</v>
      </c>
      <c r="L163" s="648"/>
      <c r="M163" s="536"/>
    </row>
    <row r="164" spans="1:13" ht="12.75">
      <c r="A164" s="644" t="s">
        <v>304</v>
      </c>
      <c r="B164" s="650">
        <f>SUM(B165:B168)</f>
        <v>109370.75</v>
      </c>
      <c r="C164" s="650">
        <f aca="true" t="shared" si="47" ref="C164:I164">SUM(C165:C168)</f>
        <v>109370.75</v>
      </c>
      <c r="D164" s="650">
        <f t="shared" si="47"/>
        <v>0</v>
      </c>
      <c r="E164" s="650">
        <f t="shared" si="47"/>
        <v>0</v>
      </c>
      <c r="F164" s="650">
        <f t="shared" si="40"/>
        <v>0</v>
      </c>
      <c r="G164" s="650">
        <f t="shared" si="41"/>
        <v>109370.75</v>
      </c>
      <c r="H164" s="650">
        <f t="shared" si="47"/>
        <v>0</v>
      </c>
      <c r="I164" s="650">
        <f t="shared" si="47"/>
        <v>0</v>
      </c>
      <c r="J164" s="650">
        <f t="shared" si="42"/>
        <v>0</v>
      </c>
      <c r="K164" s="650">
        <f t="shared" si="43"/>
        <v>109370.75</v>
      </c>
      <c r="L164" s="650">
        <f>SUM(L165:L168)</f>
        <v>0</v>
      </c>
      <c r="M164" s="536"/>
    </row>
    <row r="165" spans="1:13" ht="12.75">
      <c r="A165" s="646" t="s">
        <v>305</v>
      </c>
      <c r="B165" s="648"/>
      <c r="C165" s="648"/>
      <c r="D165" s="648"/>
      <c r="E165" s="648"/>
      <c r="F165" s="649">
        <f t="shared" si="40"/>
        <v>0</v>
      </c>
      <c r="G165" s="649">
        <f t="shared" si="41"/>
        <v>0</v>
      </c>
      <c r="H165" s="648"/>
      <c r="I165" s="648"/>
      <c r="J165" s="649">
        <f t="shared" si="42"/>
        <v>0</v>
      </c>
      <c r="K165" s="651">
        <f t="shared" si="43"/>
        <v>0</v>
      </c>
      <c r="L165" s="648"/>
      <c r="M165" s="536"/>
    </row>
    <row r="166" spans="1:13" ht="12.75">
      <c r="A166" s="646" t="s">
        <v>306</v>
      </c>
      <c r="B166" s="648"/>
      <c r="C166" s="648"/>
      <c r="D166" s="648"/>
      <c r="E166" s="648"/>
      <c r="F166" s="649">
        <f t="shared" si="40"/>
        <v>0</v>
      </c>
      <c r="G166" s="649">
        <f t="shared" si="41"/>
        <v>0</v>
      </c>
      <c r="H166" s="648"/>
      <c r="I166" s="648"/>
      <c r="J166" s="649">
        <f t="shared" si="42"/>
        <v>0</v>
      </c>
      <c r="K166" s="651">
        <f t="shared" si="43"/>
        <v>0</v>
      </c>
      <c r="L166" s="648"/>
      <c r="M166" s="536"/>
    </row>
    <row r="167" spans="1:13" ht="12.75">
      <c r="A167" s="646" t="s">
        <v>307</v>
      </c>
      <c r="B167" s="648">
        <v>109370.75</v>
      </c>
      <c r="C167" s="648">
        <v>109370.75</v>
      </c>
      <c r="D167" s="648"/>
      <c r="E167" s="648"/>
      <c r="F167" s="649">
        <f t="shared" si="40"/>
        <v>0</v>
      </c>
      <c r="G167" s="649">
        <f t="shared" si="41"/>
        <v>109370.75</v>
      </c>
      <c r="H167" s="648"/>
      <c r="I167" s="648"/>
      <c r="J167" s="649">
        <f t="shared" si="42"/>
        <v>0</v>
      </c>
      <c r="K167" s="651">
        <f t="shared" si="43"/>
        <v>109370.75</v>
      </c>
      <c r="L167" s="648"/>
      <c r="M167" s="536"/>
    </row>
    <row r="168" spans="1:13" ht="12.75">
      <c r="A168" s="646" t="s">
        <v>181</v>
      </c>
      <c r="B168" s="648"/>
      <c r="C168" s="648"/>
      <c r="D168" s="648"/>
      <c r="E168" s="648"/>
      <c r="F168" s="649">
        <f t="shared" si="40"/>
        <v>0</v>
      </c>
      <c r="G168" s="649">
        <f t="shared" si="41"/>
        <v>0</v>
      </c>
      <c r="H168" s="648"/>
      <c r="I168" s="648"/>
      <c r="J168" s="649">
        <f t="shared" si="42"/>
        <v>0</v>
      </c>
      <c r="K168" s="651">
        <f t="shared" si="43"/>
        <v>0</v>
      </c>
      <c r="L168" s="648"/>
      <c r="M168" s="536"/>
    </row>
    <row r="169" spans="1:13" ht="12.75">
      <c r="A169" s="644" t="s">
        <v>308</v>
      </c>
      <c r="B169" s="650">
        <f>SUM(B170:B177)</f>
        <v>364074.75</v>
      </c>
      <c r="C169" s="650">
        <f aca="true" t="shared" si="48" ref="C169:I169">SUM(C170:C177)</f>
        <v>364074.75</v>
      </c>
      <c r="D169" s="650">
        <f t="shared" si="48"/>
        <v>0</v>
      </c>
      <c r="E169" s="650">
        <f t="shared" si="48"/>
        <v>0</v>
      </c>
      <c r="F169" s="650">
        <f t="shared" si="40"/>
        <v>0</v>
      </c>
      <c r="G169" s="650">
        <f t="shared" si="41"/>
        <v>364074.75</v>
      </c>
      <c r="H169" s="650">
        <f t="shared" si="48"/>
        <v>0</v>
      </c>
      <c r="I169" s="650">
        <f t="shared" si="48"/>
        <v>0</v>
      </c>
      <c r="J169" s="650">
        <f t="shared" si="42"/>
        <v>0</v>
      </c>
      <c r="K169" s="650">
        <f t="shared" si="43"/>
        <v>364074.75</v>
      </c>
      <c r="L169" s="650">
        <f>SUM(L170:L177)</f>
        <v>0</v>
      </c>
      <c r="M169" s="536"/>
    </row>
    <row r="170" spans="1:13" ht="12.75">
      <c r="A170" s="646" t="s">
        <v>309</v>
      </c>
      <c r="B170" s="648"/>
      <c r="C170" s="648"/>
      <c r="D170" s="648"/>
      <c r="E170" s="648"/>
      <c r="F170" s="649">
        <f t="shared" si="40"/>
        <v>0</v>
      </c>
      <c r="G170" s="649">
        <f t="shared" si="41"/>
        <v>0</v>
      </c>
      <c r="H170" s="648"/>
      <c r="I170" s="648"/>
      <c r="J170" s="649">
        <f t="shared" si="42"/>
        <v>0</v>
      </c>
      <c r="K170" s="651">
        <f t="shared" si="43"/>
        <v>0</v>
      </c>
      <c r="L170" s="648"/>
      <c r="M170" s="536"/>
    </row>
    <row r="171" spans="1:13" ht="12.75">
      <c r="A171" s="646" t="s">
        <v>310</v>
      </c>
      <c r="B171" s="648"/>
      <c r="C171" s="648"/>
      <c r="D171" s="648"/>
      <c r="E171" s="648"/>
      <c r="F171" s="649">
        <f t="shared" si="40"/>
        <v>0</v>
      </c>
      <c r="G171" s="649">
        <f t="shared" si="41"/>
        <v>0</v>
      </c>
      <c r="H171" s="648"/>
      <c r="I171" s="648"/>
      <c r="J171" s="649">
        <f t="shared" si="42"/>
        <v>0</v>
      </c>
      <c r="K171" s="651">
        <f t="shared" si="43"/>
        <v>0</v>
      </c>
      <c r="L171" s="648"/>
      <c r="M171" s="536"/>
    </row>
    <row r="172" spans="1:13" ht="12.75">
      <c r="A172" s="646" t="s">
        <v>311</v>
      </c>
      <c r="B172" s="648">
        <v>220054.5</v>
      </c>
      <c r="C172" s="648">
        <v>220054.5</v>
      </c>
      <c r="D172" s="648"/>
      <c r="E172" s="648"/>
      <c r="F172" s="649">
        <f t="shared" si="40"/>
        <v>0</v>
      </c>
      <c r="G172" s="649">
        <f t="shared" si="41"/>
        <v>220054.5</v>
      </c>
      <c r="H172" s="648"/>
      <c r="I172" s="648"/>
      <c r="J172" s="649">
        <f t="shared" si="42"/>
        <v>0</v>
      </c>
      <c r="K172" s="651">
        <f t="shared" si="43"/>
        <v>220054.5</v>
      </c>
      <c r="L172" s="648"/>
      <c r="M172" s="536"/>
    </row>
    <row r="173" spans="1:13" ht="12.75">
      <c r="A173" s="646" t="s">
        <v>312</v>
      </c>
      <c r="B173" s="648"/>
      <c r="C173" s="648"/>
      <c r="D173" s="648"/>
      <c r="E173" s="648"/>
      <c r="F173" s="649">
        <f t="shared" si="40"/>
        <v>0</v>
      </c>
      <c r="G173" s="649">
        <f t="shared" si="41"/>
        <v>0</v>
      </c>
      <c r="H173" s="648"/>
      <c r="I173" s="648"/>
      <c r="J173" s="649">
        <f t="shared" si="42"/>
        <v>0</v>
      </c>
      <c r="K173" s="651">
        <f t="shared" si="43"/>
        <v>0</v>
      </c>
      <c r="L173" s="648"/>
      <c r="M173" s="536"/>
    </row>
    <row r="174" spans="1:13" ht="12.75">
      <c r="A174" s="646" t="s">
        <v>313</v>
      </c>
      <c r="B174" s="648"/>
      <c r="C174" s="648"/>
      <c r="D174" s="648"/>
      <c r="E174" s="648"/>
      <c r="F174" s="649">
        <f t="shared" si="40"/>
        <v>0</v>
      </c>
      <c r="G174" s="649">
        <f t="shared" si="41"/>
        <v>0</v>
      </c>
      <c r="H174" s="648"/>
      <c r="I174" s="648"/>
      <c r="J174" s="649">
        <f t="shared" si="42"/>
        <v>0</v>
      </c>
      <c r="K174" s="651">
        <f t="shared" si="43"/>
        <v>0</v>
      </c>
      <c r="L174" s="648"/>
      <c r="M174" s="536"/>
    </row>
    <row r="175" spans="1:13" ht="12.75">
      <c r="A175" s="646" t="s">
        <v>314</v>
      </c>
      <c r="B175" s="648"/>
      <c r="C175" s="648"/>
      <c r="D175" s="648"/>
      <c r="E175" s="648"/>
      <c r="F175" s="649">
        <f t="shared" si="40"/>
        <v>0</v>
      </c>
      <c r="G175" s="649">
        <f t="shared" si="41"/>
        <v>0</v>
      </c>
      <c r="H175" s="648"/>
      <c r="I175" s="648"/>
      <c r="J175" s="649">
        <f t="shared" si="42"/>
        <v>0</v>
      </c>
      <c r="K175" s="651">
        <f t="shared" si="43"/>
        <v>0</v>
      </c>
      <c r="L175" s="648"/>
      <c r="M175" s="536"/>
    </row>
    <row r="176" spans="1:13" ht="12.75">
      <c r="A176" s="646" t="s">
        <v>315</v>
      </c>
      <c r="B176" s="648"/>
      <c r="C176" s="648"/>
      <c r="D176" s="648"/>
      <c r="E176" s="648"/>
      <c r="F176" s="649">
        <f t="shared" si="40"/>
        <v>0</v>
      </c>
      <c r="G176" s="649">
        <f t="shared" si="41"/>
        <v>0</v>
      </c>
      <c r="H176" s="648"/>
      <c r="I176" s="648"/>
      <c r="J176" s="649">
        <f t="shared" si="42"/>
        <v>0</v>
      </c>
      <c r="K176" s="651">
        <f t="shared" si="43"/>
        <v>0</v>
      </c>
      <c r="L176" s="648"/>
      <c r="M176" s="536"/>
    </row>
    <row r="177" spans="1:13" ht="12.75">
      <c r="A177" s="646" t="s">
        <v>181</v>
      </c>
      <c r="B177" s="648">
        <v>144020.25</v>
      </c>
      <c r="C177" s="648">
        <v>144020.25</v>
      </c>
      <c r="D177" s="648"/>
      <c r="E177" s="648"/>
      <c r="F177" s="649">
        <f t="shared" si="40"/>
        <v>0</v>
      </c>
      <c r="G177" s="649">
        <f t="shared" si="41"/>
        <v>144020.25</v>
      </c>
      <c r="H177" s="648"/>
      <c r="I177" s="648"/>
      <c r="J177" s="649">
        <f t="shared" si="42"/>
        <v>0</v>
      </c>
      <c r="K177" s="651">
        <f t="shared" si="43"/>
        <v>144020.25</v>
      </c>
      <c r="L177" s="648"/>
      <c r="M177" s="536"/>
    </row>
    <row r="178" spans="1:13" ht="12.75">
      <c r="A178" s="644" t="s">
        <v>143</v>
      </c>
      <c r="B178" s="652">
        <v>375061</v>
      </c>
      <c r="C178" s="652">
        <v>375061</v>
      </c>
      <c r="D178" s="653"/>
      <c r="E178" s="653"/>
      <c r="F178" s="653"/>
      <c r="G178" s="654">
        <f t="shared" si="41"/>
        <v>375061</v>
      </c>
      <c r="H178" s="653"/>
      <c r="I178" s="653"/>
      <c r="J178" s="653"/>
      <c r="K178" s="654">
        <f t="shared" si="43"/>
        <v>375061</v>
      </c>
      <c r="L178" s="653"/>
      <c r="M178" s="663"/>
    </row>
    <row r="179" spans="1:13" ht="12.75">
      <c r="A179" s="644" t="s">
        <v>154</v>
      </c>
      <c r="B179" s="655"/>
      <c r="C179" s="655"/>
      <c r="D179" s="653"/>
      <c r="E179" s="653"/>
      <c r="F179" s="653"/>
      <c r="G179" s="654">
        <f t="shared" si="41"/>
        <v>0</v>
      </c>
      <c r="H179" s="653"/>
      <c r="I179" s="653"/>
      <c r="J179" s="653"/>
      <c r="K179" s="654">
        <f t="shared" si="43"/>
        <v>0</v>
      </c>
      <c r="L179" s="653"/>
      <c r="M179" s="536"/>
    </row>
    <row r="180" spans="1:13" ht="12.75">
      <c r="A180" s="656" t="s">
        <v>316</v>
      </c>
      <c r="B180" s="657"/>
      <c r="C180" s="657"/>
      <c r="D180" s="657"/>
      <c r="E180" s="657"/>
      <c r="F180" s="658">
        <f>IF(E$181="",0,IF(E$181=0,0,E180/E$181))</f>
        <v>0</v>
      </c>
      <c r="G180" s="658">
        <f t="shared" si="41"/>
        <v>0</v>
      </c>
      <c r="H180" s="659"/>
      <c r="I180" s="659"/>
      <c r="J180" s="658">
        <f>IF(I348="",0,IF(I348=0,0,I180/I$181))</f>
        <v>0</v>
      </c>
      <c r="K180" s="664">
        <f t="shared" si="43"/>
        <v>0</v>
      </c>
      <c r="L180" s="657"/>
      <c r="M180" s="536"/>
    </row>
    <row r="181" spans="1:13" ht="12.75">
      <c r="A181" s="660" t="s">
        <v>317</v>
      </c>
      <c r="B181" s="661">
        <f>+B180+B13</f>
        <v>36977489.65</v>
      </c>
      <c r="C181" s="661">
        <f aca="true" t="shared" si="49" ref="C181:L181">+C180+C13</f>
        <v>37154676.980000004</v>
      </c>
      <c r="D181" s="661">
        <f t="shared" si="49"/>
        <v>3774995.0399999996</v>
      </c>
      <c r="E181" s="661">
        <f t="shared" si="49"/>
        <v>3774995.0399999996</v>
      </c>
      <c r="F181" s="661">
        <f t="shared" si="49"/>
        <v>1</v>
      </c>
      <c r="G181" s="661">
        <f t="shared" si="49"/>
        <v>33379681.940000005</v>
      </c>
      <c r="H181" s="661">
        <f t="shared" si="49"/>
        <v>2441072.2299999995</v>
      </c>
      <c r="I181" s="661">
        <f t="shared" si="49"/>
        <v>2441072.2299999995</v>
      </c>
      <c r="J181" s="661">
        <f t="shared" si="49"/>
        <v>1</v>
      </c>
      <c r="K181" s="661">
        <f t="shared" si="49"/>
        <v>34713604.75000001</v>
      </c>
      <c r="L181" s="661">
        <f t="shared" si="49"/>
        <v>0</v>
      </c>
      <c r="M181" s="537"/>
    </row>
    <row r="182" spans="1:13" ht="12.75">
      <c r="A182" s="840" t="s">
        <v>318</v>
      </c>
      <c r="B182" s="840"/>
      <c r="C182" s="8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</row>
    <row r="183" spans="1:13" ht="12.75">
      <c r="A183" s="840"/>
      <c r="B183" s="840"/>
      <c r="C183" s="8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</row>
    <row r="184" spans="1:13" ht="12.75">
      <c r="A184" s="871"/>
      <c r="B184" s="871"/>
      <c r="C184" s="871"/>
      <c r="D184" s="871"/>
      <c r="E184" s="871"/>
      <c r="F184" s="871"/>
      <c r="G184" s="871"/>
      <c r="H184" s="871"/>
      <c r="I184" s="871"/>
      <c r="J184" s="871"/>
      <c r="K184" s="140"/>
      <c r="L184" s="140"/>
      <c r="M184" s="140"/>
    </row>
    <row r="185" spans="1:13" s="536" customFormat="1" ht="11.25" customHeight="1">
      <c r="A185" s="662"/>
      <c r="B185" s="662"/>
      <c r="C185" s="662"/>
      <c r="D185" s="662"/>
      <c r="E185" s="662"/>
      <c r="F185" s="662"/>
      <c r="G185" s="662"/>
      <c r="H185" s="662"/>
      <c r="I185" s="662"/>
      <c r="J185" s="662"/>
      <c r="K185" s="662"/>
      <c r="L185" s="662"/>
      <c r="M185" s="662"/>
    </row>
  </sheetData>
  <sheetProtection password="C236" sheet="1" objects="1" formatColumns="0" selectLockedCells="1"/>
  <mergeCells count="18">
    <mergeCell ref="K10:K11"/>
    <mergeCell ref="L10:L12"/>
    <mergeCell ref="O18:O20"/>
    <mergeCell ref="D10:F10"/>
    <mergeCell ref="H10:J10"/>
    <mergeCell ref="A182:C182"/>
    <mergeCell ref="A183:C183"/>
    <mergeCell ref="A184:J184"/>
    <mergeCell ref="A10:A12"/>
    <mergeCell ref="D11:D12"/>
    <mergeCell ref="G10:G11"/>
    <mergeCell ref="H11:H12"/>
    <mergeCell ref="A3:L3"/>
    <mergeCell ref="A4:L4"/>
    <mergeCell ref="A5:L5"/>
    <mergeCell ref="A6:L6"/>
    <mergeCell ref="A7:L7"/>
    <mergeCell ref="A8:L8"/>
  </mergeCells>
  <printOptions horizontalCentered="1"/>
  <pageMargins left="0" right="0" top="0.59" bottom="0.2" header="0" footer="0"/>
  <pageSetup horizontalDpi="600" verticalDpi="600" orientation="landscape" paperSize="9" scale="80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114" zoomScaleNormal="114" zoomScalePageLayoutView="0" workbookViewId="0" topLeftCell="D25">
      <selection activeCell="M26" sqref="M26"/>
    </sheetView>
  </sheetViews>
  <sheetFormatPr defaultColWidth="4.140625" defaultRowHeight="11.25" customHeight="1"/>
  <cols>
    <col min="1" max="1" width="44.7109375" style="481" customWidth="1"/>
    <col min="2" max="2" width="13.7109375" style="481" customWidth="1"/>
    <col min="3" max="3" width="15.140625" style="481" customWidth="1"/>
    <col min="4" max="4" width="14.28125" style="481" customWidth="1"/>
    <col min="5" max="5" width="12.421875" style="481" customWidth="1"/>
    <col min="6" max="6" width="12.8515625" style="481" customWidth="1"/>
    <col min="7" max="7" width="13.7109375" style="481" customWidth="1"/>
    <col min="8" max="8" width="12.421875" style="485" customWidth="1"/>
    <col min="9" max="9" width="12.7109375" style="481" customWidth="1"/>
    <col min="10" max="10" width="14.421875" style="481" customWidth="1"/>
    <col min="11" max="11" width="12.7109375" style="481" customWidth="1"/>
    <col min="12" max="12" width="13.00390625" style="481" customWidth="1"/>
    <col min="13" max="13" width="13.140625" style="481" customWidth="1"/>
    <col min="14" max="14" width="13.57421875" style="481" customWidth="1"/>
    <col min="15" max="15" width="12.7109375" style="481" bestFit="1" customWidth="1"/>
    <col min="16" max="16384" width="4.140625" style="481" customWidth="1"/>
  </cols>
  <sheetData>
    <row r="1" spans="1:21" ht="11.25" customHeight="1">
      <c r="A1" s="500" t="s">
        <v>319</v>
      </c>
      <c r="Q1" s="636"/>
      <c r="R1" s="637" t="s">
        <v>4</v>
      </c>
      <c r="S1" s="636" t="s">
        <v>320</v>
      </c>
      <c r="T1" s="636" t="s">
        <v>321</v>
      </c>
      <c r="U1" s="636" t="s">
        <v>322</v>
      </c>
    </row>
    <row r="2" spans="1:21" ht="11.25" customHeight="1">
      <c r="A2" s="500"/>
      <c r="Q2" s="636"/>
      <c r="R2" s="637" t="s">
        <v>6</v>
      </c>
      <c r="S2" s="636" t="s">
        <v>323</v>
      </c>
      <c r="T2" s="636" t="s">
        <v>324</v>
      </c>
      <c r="U2" s="636" t="s">
        <v>320</v>
      </c>
    </row>
    <row r="3" spans="1:21" ht="11.25" customHeight="1">
      <c r="A3" s="866" t="str">
        <f>+'Informações Iniciais'!A1</f>
        <v>ESTADO DO MARANHÃO - PREFEITURA MUNICIPAL DE DAVINOPOLIS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Q3" s="636"/>
      <c r="R3" s="637" t="s">
        <v>7</v>
      </c>
      <c r="S3" s="636" t="s">
        <v>325</v>
      </c>
      <c r="T3" s="636" t="s">
        <v>326</v>
      </c>
      <c r="U3" s="636" t="s">
        <v>323</v>
      </c>
    </row>
    <row r="4" spans="1:21" ht="11.25" customHeight="1">
      <c r="A4" s="867" t="s">
        <v>1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Q4" s="636"/>
      <c r="R4" s="637" t="s">
        <v>9</v>
      </c>
      <c r="S4" s="636" t="s">
        <v>327</v>
      </c>
      <c r="T4" s="636" t="s">
        <v>328</v>
      </c>
      <c r="U4" s="636" t="s">
        <v>325</v>
      </c>
    </row>
    <row r="5" spans="1:21" ht="11.25" customHeight="1">
      <c r="A5" s="868" t="s">
        <v>329</v>
      </c>
      <c r="B5" s="868"/>
      <c r="C5" s="868"/>
      <c r="D5" s="868"/>
      <c r="E5" s="868"/>
      <c r="F5" s="868"/>
      <c r="G5" s="868"/>
      <c r="H5" s="868"/>
      <c r="I5" s="868"/>
      <c r="J5" s="868"/>
      <c r="K5" s="868"/>
      <c r="L5" s="868"/>
      <c r="M5" s="868"/>
      <c r="N5" s="868"/>
      <c r="O5" s="868"/>
      <c r="Q5" s="636"/>
      <c r="R5" s="637" t="s">
        <v>11</v>
      </c>
      <c r="S5" s="636" t="s">
        <v>330</v>
      </c>
      <c r="T5" s="636" t="s">
        <v>331</v>
      </c>
      <c r="U5" s="636" t="s">
        <v>327</v>
      </c>
    </row>
    <row r="6" spans="1:21" ht="11.25" customHeight="1">
      <c r="A6" s="869" t="s">
        <v>30</v>
      </c>
      <c r="B6" s="869"/>
      <c r="C6" s="869"/>
      <c r="D6" s="869"/>
      <c r="E6" s="869"/>
      <c r="F6" s="869"/>
      <c r="G6" s="869"/>
      <c r="H6" s="869"/>
      <c r="I6" s="869"/>
      <c r="J6" s="869"/>
      <c r="K6" s="869"/>
      <c r="L6" s="869"/>
      <c r="M6" s="869"/>
      <c r="N6" s="869"/>
      <c r="O6" s="869"/>
      <c r="Q6" s="636"/>
      <c r="R6" s="637" t="s">
        <v>13</v>
      </c>
      <c r="S6" s="636" t="s">
        <v>322</v>
      </c>
      <c r="T6" s="636" t="s">
        <v>332</v>
      </c>
      <c r="U6" s="636" t="s">
        <v>330</v>
      </c>
    </row>
    <row r="7" spans="1:15" ht="11.25" customHeight="1">
      <c r="A7" s="866" t="str">
        <f>+'Informações Iniciais'!A5</f>
        <v>1º Bimestre de 2017</v>
      </c>
      <c r="B7" s="866"/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66"/>
    </row>
    <row r="8" spans="1:15" ht="11.25" customHeight="1">
      <c r="A8" s="624"/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</row>
    <row r="9" spans="1:15" ht="11.25" customHeight="1">
      <c r="A9" s="481" t="s">
        <v>333</v>
      </c>
      <c r="H9" s="541"/>
      <c r="O9" s="496" t="s">
        <v>32</v>
      </c>
    </row>
    <row r="10" spans="1:15" ht="15" customHeight="1">
      <c r="A10" s="886" t="s">
        <v>334</v>
      </c>
      <c r="B10" s="894" t="s">
        <v>335</v>
      </c>
      <c r="C10" s="895"/>
      <c r="D10" s="895"/>
      <c r="E10" s="895"/>
      <c r="F10" s="895"/>
      <c r="G10" s="895"/>
      <c r="H10" s="895"/>
      <c r="I10" s="895"/>
      <c r="J10" s="895"/>
      <c r="K10" s="895"/>
      <c r="L10" s="895"/>
      <c r="M10" s="896"/>
      <c r="N10" s="889" t="s">
        <v>336</v>
      </c>
      <c r="O10" s="892" t="s">
        <v>35</v>
      </c>
    </row>
    <row r="11" spans="1:15" ht="15" customHeight="1">
      <c r="A11" s="887"/>
      <c r="B11" s="897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88"/>
      <c r="N11" s="890"/>
      <c r="O11" s="893"/>
    </row>
    <row r="12" spans="1:15" ht="15" customHeight="1">
      <c r="A12" s="888"/>
      <c r="B12" s="625" t="str">
        <f>IF(C12=$S1,$T1,IF(C12=$S2,$T2,IF(C12=$S3,$T3,IF(C12=$S4,$T4,IF(C12=$S5,$T5,IF(C12=$S6,$T6,"&lt;MR-1&gt;"))))))</f>
        <v>Mar</v>
      </c>
      <c r="C12" s="625" t="str">
        <f>IF(D12=$T1,$U1,IF(D12=$T2,$U2,IF(D12=$T3,$U3,IF(D12=$T4,$U4,IF(D12=$T5,$U5,IF(D12=$T6,$U6,"&lt;MR-2&gt;"))))))</f>
        <v>Abr</v>
      </c>
      <c r="D12" s="625" t="str">
        <f>IF(E12=$S1,$T1,IF(E12=$S2,$T2,IF(E12=$S3,$T3,IF(E12=$S4,$T4,IF(E12=$S5,$T5,IF(E12=$S6,$T6,"&lt;MR-1&gt;"))))))</f>
        <v>Mai</v>
      </c>
      <c r="E12" s="625" t="str">
        <f>IF(F12=$T1,$U1,IF(F12=$T2,$U2,IF(F12=$T3,$U3,IF(F12=$T4,$U4,IF(F12=$T5,$U5,IF(F12=$T6,$U6,"&lt;MR-2&gt;"))))))</f>
        <v>Jun</v>
      </c>
      <c r="F12" s="625" t="str">
        <f>IF(G12=$S1,$T1,IF(G12=$S2,$T2,IF(G12=$S3,$T3,IF(G12=$S4,$T4,IF(G12=$S5,$T5,IF(G12=$S6,$T6,"&lt;MR-1&gt;"))))))</f>
        <v>Jul</v>
      </c>
      <c r="G12" s="625" t="str">
        <f>IF(H12=$T1,$U1,IF(H12=$T2,$U2,IF(H12=$T3,$U3,IF(H12=$T4,$U4,IF(H12=$T5,$U5,IF(H12=$T6,$U6,"&lt;MR-2&gt;"))))))</f>
        <v>Ago</v>
      </c>
      <c r="H12" s="625" t="str">
        <f>IF(I12=$S1,$T1,IF(I12=$S2,$T2,IF(I12=$S3,$T3,IF(I12=$S4,$T4,IF(I12=$S5,$T5,IF(I12=$S6,$T6,"&lt;MR-1&gt;"))))))</f>
        <v>Set</v>
      </c>
      <c r="I12" s="625" t="str">
        <f>IF(J12=$T1,$U1,IF(J12=$T2,$U2,IF(J12=$T3,$U3,IF(J12=$T4,$U4,IF(J12=$T5,$U5,IF(J12=$T6,$U6,"&lt;MR-2&gt;"))))))</f>
        <v>Out</v>
      </c>
      <c r="J12" s="625" t="str">
        <f>IF(K12=$S1,$T1,IF(K12=$S2,$T2,IF(K12=$S3,$T3,IF(K12=$S4,$T4,IF(K12=$S5,$T5,IF(K12=$S6,$T6,"&lt;MR-1&gt;"))))))</f>
        <v>Nov</v>
      </c>
      <c r="K12" s="625" t="str">
        <f>IF(L12=$T1,$U1,IF(L12=$T2,$U2,IF(L12=$T3,$U3,IF(L12=$T4,$U4,IF(L12=$T5,$U5,IF(L12=$T6,$U6,"&lt;MR-2&gt;"))))))</f>
        <v>Dez</v>
      </c>
      <c r="L12" s="625" t="str">
        <f>IF(M12=$S1,$T1,IF(M12=$S2,$T2,IF(M12=$S3,$T3,IF(M12=$S4,$T4,IF(M12=$S5,$T5,IF(M12=$S6,$T6,"&lt;MR-1&gt;"))))))</f>
        <v>Jan</v>
      </c>
      <c r="M12" s="625" t="str">
        <f>IF(A7=R1,S1,IF(A7=R2,S2,IF(A7=R3,S3,IF(A7=R4,S4,IF(A7=R5,S5,IF(A7=R6,S6,"MR"))))))</f>
        <v>Fev</v>
      </c>
      <c r="N12" s="891"/>
      <c r="O12" s="635" t="str">
        <f>RIGHT(R1,4)</f>
        <v>2017</v>
      </c>
    </row>
    <row r="13" spans="1:15" s="623" customFormat="1" ht="12.75">
      <c r="A13" s="626" t="s">
        <v>337</v>
      </c>
      <c r="B13" s="627">
        <f aca="true" t="shared" si="0" ref="B13:M13">+B14+B20+B21+B22+B23+B24+B25+B34</f>
        <v>1629379.66</v>
      </c>
      <c r="C13" s="627">
        <f t="shared" si="0"/>
        <v>1766976.74</v>
      </c>
      <c r="D13" s="627">
        <f t="shared" si="0"/>
        <v>1982075.0299999998</v>
      </c>
      <c r="E13" s="627">
        <f t="shared" si="0"/>
        <v>2343107.2</v>
      </c>
      <c r="F13" s="627">
        <f t="shared" si="0"/>
        <v>2005285.94</v>
      </c>
      <c r="G13" s="627">
        <f t="shared" si="0"/>
        <v>1776172.5</v>
      </c>
      <c r="H13" s="627">
        <f t="shared" si="0"/>
        <v>1650364.4899999998</v>
      </c>
      <c r="I13" s="627">
        <f t="shared" si="0"/>
        <v>1497612.26</v>
      </c>
      <c r="J13" s="627">
        <f t="shared" si="0"/>
        <v>2810767.8999999994</v>
      </c>
      <c r="K13" s="627">
        <f t="shared" si="0"/>
        <v>3774326.3099999996</v>
      </c>
      <c r="L13" s="627">
        <f t="shared" si="0"/>
        <v>1584285.2</v>
      </c>
      <c r="M13" s="627">
        <f t="shared" si="0"/>
        <v>3104858.1799999997</v>
      </c>
      <c r="N13" s="627">
        <f aca="true" t="shared" si="1" ref="N13:N39">SUM(B13:M13)</f>
        <v>25925211.409999996</v>
      </c>
      <c r="O13" s="627">
        <f>+O14+O20+O21+O22+O23+O24+O25+O34</f>
        <v>0</v>
      </c>
    </row>
    <row r="14" spans="1:15" ht="12.75">
      <c r="A14" s="628" t="s">
        <v>338</v>
      </c>
      <c r="B14" s="629">
        <f aca="true" t="shared" si="2" ref="B14:M14">SUM(B15:B19)</f>
        <v>34319.69</v>
      </c>
      <c r="C14" s="629">
        <f t="shared" si="2"/>
        <v>29815.699999999997</v>
      </c>
      <c r="D14" s="629">
        <f t="shared" si="2"/>
        <v>46775.3</v>
      </c>
      <c r="E14" s="629">
        <f t="shared" si="2"/>
        <v>78537.83</v>
      </c>
      <c r="F14" s="629">
        <f t="shared" si="2"/>
        <v>114858.49</v>
      </c>
      <c r="G14" s="629">
        <f t="shared" si="2"/>
        <v>109659.3</v>
      </c>
      <c r="H14" s="629">
        <f t="shared" si="2"/>
        <v>51701.71</v>
      </c>
      <c r="I14" s="629">
        <f t="shared" si="2"/>
        <v>20357.53</v>
      </c>
      <c r="J14" s="629">
        <f t="shared" si="2"/>
        <v>15922.14</v>
      </c>
      <c r="K14" s="629">
        <f t="shared" si="2"/>
        <v>16744.49</v>
      </c>
      <c r="L14" s="629">
        <f t="shared" si="2"/>
        <v>124464.96</v>
      </c>
      <c r="M14" s="629">
        <f t="shared" si="2"/>
        <v>28321.96</v>
      </c>
      <c r="N14" s="629">
        <f t="shared" si="1"/>
        <v>671479.1</v>
      </c>
      <c r="O14" s="629">
        <f>SUM(O15:O19)</f>
        <v>0</v>
      </c>
    </row>
    <row r="15" spans="1:15" ht="12.75">
      <c r="A15" s="630" t="s">
        <v>339</v>
      </c>
      <c r="B15" s="631"/>
      <c r="C15" s="631"/>
      <c r="D15" s="631"/>
      <c r="E15" s="631"/>
      <c r="F15" s="631"/>
      <c r="G15" s="631"/>
      <c r="H15" s="631"/>
      <c r="I15" s="631"/>
      <c r="J15" s="631"/>
      <c r="K15" s="631"/>
      <c r="L15" s="631"/>
      <c r="M15" s="631"/>
      <c r="N15" s="374">
        <f t="shared" si="1"/>
        <v>0</v>
      </c>
      <c r="O15" s="631"/>
    </row>
    <row r="16" spans="1:15" ht="12.75">
      <c r="A16" s="630" t="s">
        <v>340</v>
      </c>
      <c r="B16" s="631">
        <v>22405.38</v>
      </c>
      <c r="C16" s="631">
        <v>12715.28</v>
      </c>
      <c r="D16" s="631">
        <v>28280.78</v>
      </c>
      <c r="E16" s="631">
        <v>57283.61</v>
      </c>
      <c r="F16" s="631">
        <v>99421.27</v>
      </c>
      <c r="G16" s="631">
        <v>97145.2</v>
      </c>
      <c r="H16" s="631">
        <v>41957.85</v>
      </c>
      <c r="I16" s="631">
        <v>20357.53</v>
      </c>
      <c r="J16" s="631">
        <v>15922.14</v>
      </c>
      <c r="K16" s="631">
        <v>16744.49</v>
      </c>
      <c r="L16" s="631">
        <v>124464.96</v>
      </c>
      <c r="M16" s="631">
        <v>28321.96</v>
      </c>
      <c r="N16" s="374">
        <f t="shared" si="1"/>
        <v>565020.45</v>
      </c>
      <c r="O16" s="631"/>
    </row>
    <row r="17" spans="1:15" ht="12.75">
      <c r="A17" s="630" t="s">
        <v>341</v>
      </c>
      <c r="B17" s="631"/>
      <c r="C17" s="631"/>
      <c r="D17" s="631"/>
      <c r="E17" s="631"/>
      <c r="F17" s="631"/>
      <c r="G17" s="631"/>
      <c r="H17" s="631"/>
      <c r="I17" s="631"/>
      <c r="J17" s="631"/>
      <c r="K17" s="631"/>
      <c r="L17" s="631"/>
      <c r="M17" s="631"/>
      <c r="N17" s="374">
        <f t="shared" si="1"/>
        <v>0</v>
      </c>
      <c r="O17" s="631"/>
    </row>
    <row r="18" spans="1:15" ht="12.75">
      <c r="A18" s="630" t="s">
        <v>342</v>
      </c>
      <c r="B18" s="631"/>
      <c r="C18" s="631"/>
      <c r="D18" s="631"/>
      <c r="E18" s="631"/>
      <c r="F18" s="631"/>
      <c r="G18" s="631"/>
      <c r="H18" s="631"/>
      <c r="I18" s="631"/>
      <c r="J18" s="631"/>
      <c r="K18" s="631"/>
      <c r="L18" s="631"/>
      <c r="M18" s="631"/>
      <c r="N18" s="374">
        <f t="shared" si="1"/>
        <v>0</v>
      </c>
      <c r="O18" s="631"/>
    </row>
    <row r="19" spans="1:15" ht="12.75">
      <c r="A19" s="630" t="s">
        <v>343</v>
      </c>
      <c r="B19" s="631">
        <v>11914.31</v>
      </c>
      <c r="C19" s="631">
        <v>17100.42</v>
      </c>
      <c r="D19" s="631">
        <v>18494.52</v>
      </c>
      <c r="E19" s="631">
        <v>21254.22</v>
      </c>
      <c r="F19" s="631">
        <v>15437.22</v>
      </c>
      <c r="G19" s="631">
        <v>12514.1</v>
      </c>
      <c r="H19" s="631">
        <v>9743.86</v>
      </c>
      <c r="I19" s="631"/>
      <c r="J19" s="631"/>
      <c r="K19" s="631"/>
      <c r="L19" s="631"/>
      <c r="M19" s="631"/>
      <c r="N19" s="374">
        <f t="shared" si="1"/>
        <v>106458.65000000001</v>
      </c>
      <c r="O19" s="631"/>
    </row>
    <row r="20" spans="1:15" ht="12.75">
      <c r="A20" s="628" t="s">
        <v>344</v>
      </c>
      <c r="B20" s="631"/>
      <c r="C20" s="631"/>
      <c r="D20" s="631"/>
      <c r="E20" s="631"/>
      <c r="F20" s="631"/>
      <c r="G20" s="631"/>
      <c r="H20" s="631"/>
      <c r="I20" s="631"/>
      <c r="J20" s="631"/>
      <c r="K20" s="631"/>
      <c r="L20" s="631"/>
      <c r="M20" s="631"/>
      <c r="N20" s="629">
        <f t="shared" si="1"/>
        <v>0</v>
      </c>
      <c r="O20" s="631"/>
    </row>
    <row r="21" spans="1:15" ht="12.75">
      <c r="A21" s="628" t="s">
        <v>345</v>
      </c>
      <c r="B21" s="631">
        <v>13169.7</v>
      </c>
      <c r="C21" s="631">
        <v>10302.75</v>
      </c>
      <c r="D21" s="631">
        <v>10578.33</v>
      </c>
      <c r="E21" s="631">
        <v>10979.85</v>
      </c>
      <c r="F21" s="631">
        <v>10346.85</v>
      </c>
      <c r="G21" s="631">
        <v>9485.91</v>
      </c>
      <c r="H21" s="631">
        <v>5525.98</v>
      </c>
      <c r="I21" s="631">
        <v>6585.33</v>
      </c>
      <c r="J21" s="631">
        <v>3017.95</v>
      </c>
      <c r="K21" s="631">
        <v>4145.31</v>
      </c>
      <c r="L21" s="631">
        <v>2489.12</v>
      </c>
      <c r="M21" s="631">
        <v>7619</v>
      </c>
      <c r="N21" s="629">
        <f t="shared" si="1"/>
        <v>94246.07999999999</v>
      </c>
      <c r="O21" s="631"/>
    </row>
    <row r="22" spans="1:15" ht="12.75">
      <c r="A22" s="628" t="s">
        <v>346</v>
      </c>
      <c r="B22" s="631"/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29">
        <f t="shared" si="1"/>
        <v>0</v>
      </c>
      <c r="O22" s="631"/>
    </row>
    <row r="23" spans="1:15" ht="12.75">
      <c r="A23" s="628" t="s">
        <v>347</v>
      </c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29">
        <f t="shared" si="1"/>
        <v>0</v>
      </c>
      <c r="O23" s="631"/>
    </row>
    <row r="24" spans="1:15" ht="12.75">
      <c r="A24" s="628" t="s">
        <v>348</v>
      </c>
      <c r="B24" s="631"/>
      <c r="C24" s="631"/>
      <c r="D24" s="631"/>
      <c r="E24" s="631"/>
      <c r="F24" s="631"/>
      <c r="G24" s="631"/>
      <c r="H24" s="631"/>
      <c r="I24" s="631"/>
      <c r="J24" s="631"/>
      <c r="K24" s="631"/>
      <c r="L24" s="631"/>
      <c r="M24" s="631"/>
      <c r="N24" s="629">
        <f t="shared" si="1"/>
        <v>0</v>
      </c>
      <c r="O24" s="631"/>
    </row>
    <row r="25" spans="1:15" ht="12.75">
      <c r="A25" s="628" t="s">
        <v>349</v>
      </c>
      <c r="B25" s="629">
        <f aca="true" t="shared" si="3" ref="B25:M25">SUM(B26:B33)</f>
        <v>1581890.27</v>
      </c>
      <c r="C25" s="629">
        <f t="shared" si="3"/>
        <v>1726858.29</v>
      </c>
      <c r="D25" s="629">
        <f t="shared" si="3"/>
        <v>1924721.4</v>
      </c>
      <c r="E25" s="629">
        <f t="shared" si="3"/>
        <v>2253589.52</v>
      </c>
      <c r="F25" s="629">
        <f t="shared" si="3"/>
        <v>1880080.5999999999</v>
      </c>
      <c r="G25" s="629">
        <f t="shared" si="3"/>
        <v>1657027.29</v>
      </c>
      <c r="H25" s="629">
        <f t="shared" si="3"/>
        <v>1593136.7999999998</v>
      </c>
      <c r="I25" s="629">
        <f t="shared" si="3"/>
        <v>1470669.4</v>
      </c>
      <c r="J25" s="629">
        <f t="shared" si="3"/>
        <v>2791827.8099999996</v>
      </c>
      <c r="K25" s="629">
        <f t="shared" si="3"/>
        <v>3753436.51</v>
      </c>
      <c r="L25" s="629">
        <f t="shared" si="3"/>
        <v>1457331.1199999999</v>
      </c>
      <c r="M25" s="629">
        <f t="shared" si="3"/>
        <v>3068917.2199999997</v>
      </c>
      <c r="N25" s="629">
        <f t="shared" si="1"/>
        <v>25159486.23</v>
      </c>
      <c r="O25" s="629">
        <f>SUM(O26:O33)</f>
        <v>0</v>
      </c>
    </row>
    <row r="26" spans="1:15" ht="12.75">
      <c r="A26" s="630" t="s">
        <v>350</v>
      </c>
      <c r="B26" s="631">
        <v>539489.01</v>
      </c>
      <c r="C26" s="631">
        <v>640954.83</v>
      </c>
      <c r="D26" s="631">
        <v>852315.2</v>
      </c>
      <c r="E26" s="631">
        <v>704150.45</v>
      </c>
      <c r="F26" s="631">
        <v>780809.35</v>
      </c>
      <c r="G26" s="631">
        <v>633112.25</v>
      </c>
      <c r="H26" s="631">
        <v>514846.74</v>
      </c>
      <c r="I26" s="631">
        <v>262083.75</v>
      </c>
      <c r="J26" s="631">
        <v>1503134.92</v>
      </c>
      <c r="K26" s="631">
        <v>1782485.69</v>
      </c>
      <c r="L26" s="631">
        <v>757749.97</v>
      </c>
      <c r="M26" s="631">
        <v>971415.09</v>
      </c>
      <c r="N26" s="374">
        <f t="shared" si="1"/>
        <v>9942547.25</v>
      </c>
      <c r="O26" s="631"/>
    </row>
    <row r="27" spans="1:15" ht="12.75">
      <c r="A27" s="630" t="s">
        <v>351</v>
      </c>
      <c r="B27" s="631">
        <v>123487.51</v>
      </c>
      <c r="C27" s="631">
        <v>146961.99</v>
      </c>
      <c r="D27" s="631">
        <v>136892.16</v>
      </c>
      <c r="E27" s="631">
        <v>168260.34</v>
      </c>
      <c r="F27" s="631">
        <v>164934.28</v>
      </c>
      <c r="G27" s="631">
        <v>140267.57</v>
      </c>
      <c r="H27" s="631">
        <v>171336.06</v>
      </c>
      <c r="I27" s="631">
        <v>162083.32</v>
      </c>
      <c r="J27" s="631">
        <v>176683.66</v>
      </c>
      <c r="K27" s="631">
        <v>176956.09</v>
      </c>
      <c r="L27" s="631">
        <v>153675.51</v>
      </c>
      <c r="M27" s="631">
        <v>140988.61</v>
      </c>
      <c r="N27" s="374">
        <f t="shared" si="1"/>
        <v>1862527.1</v>
      </c>
      <c r="O27" s="631"/>
    </row>
    <row r="28" spans="1:15" ht="12.75">
      <c r="A28" s="630" t="s">
        <v>352</v>
      </c>
      <c r="B28" s="631">
        <v>21542.44</v>
      </c>
      <c r="C28" s="631">
        <v>20632.19</v>
      </c>
      <c r="D28" s="631">
        <v>26943.33</v>
      </c>
      <c r="E28" s="631">
        <v>14937.4</v>
      </c>
      <c r="F28" s="631">
        <v>10435.4</v>
      </c>
      <c r="G28" s="631">
        <v>7545.89</v>
      </c>
      <c r="H28" s="631">
        <v>2353.98</v>
      </c>
      <c r="I28" s="631">
        <v>7926.73</v>
      </c>
      <c r="J28" s="631">
        <v>2637.19</v>
      </c>
      <c r="K28" s="631">
        <v>3271.69</v>
      </c>
      <c r="L28" s="631">
        <v>32631.83</v>
      </c>
      <c r="M28" s="631">
        <v>23868.26</v>
      </c>
      <c r="N28" s="374">
        <f t="shared" si="1"/>
        <v>174726.33</v>
      </c>
      <c r="O28" s="631"/>
    </row>
    <row r="29" spans="1:15" ht="12.75">
      <c r="A29" s="630" t="s">
        <v>353</v>
      </c>
      <c r="B29" s="631">
        <v>30.96</v>
      </c>
      <c r="C29" s="631">
        <v>17.69</v>
      </c>
      <c r="D29" s="631"/>
      <c r="E29" s="631">
        <v>39.8</v>
      </c>
      <c r="F29" s="631"/>
      <c r="G29" s="631">
        <v>13.68</v>
      </c>
      <c r="H29" s="631">
        <v>88.63</v>
      </c>
      <c r="I29" s="631">
        <v>1200.71</v>
      </c>
      <c r="J29" s="631">
        <v>35.16</v>
      </c>
      <c r="K29" s="631">
        <v>123.1</v>
      </c>
      <c r="L29" s="631"/>
      <c r="M29" s="631"/>
      <c r="N29" s="374">
        <f t="shared" si="1"/>
        <v>1549.73</v>
      </c>
      <c r="O29" s="631"/>
    </row>
    <row r="30" spans="1:15" ht="12.75">
      <c r="A30" s="630" t="s">
        <v>354</v>
      </c>
      <c r="B30" s="631">
        <v>908.69</v>
      </c>
      <c r="C30" s="631">
        <v>908.69</v>
      </c>
      <c r="D30" s="631">
        <v>908.69</v>
      </c>
      <c r="E30" s="631">
        <v>908.69</v>
      </c>
      <c r="F30" s="631">
        <v>908.69</v>
      </c>
      <c r="G30" s="631">
        <v>908.69</v>
      </c>
      <c r="H30" s="631">
        <v>908.69</v>
      </c>
      <c r="I30" s="631">
        <v>908.69</v>
      </c>
      <c r="J30" s="631">
        <v>908.69</v>
      </c>
      <c r="K30" s="631">
        <v>908.69</v>
      </c>
      <c r="L30" s="631">
        <v>1672.3</v>
      </c>
      <c r="M30" s="631">
        <v>1672.3</v>
      </c>
      <c r="N30" s="374">
        <f t="shared" si="1"/>
        <v>12431.500000000002</v>
      </c>
      <c r="O30" s="631"/>
    </row>
    <row r="31" spans="1:15" ht="12.75">
      <c r="A31" s="630" t="s">
        <v>355</v>
      </c>
      <c r="B31" s="631"/>
      <c r="C31" s="631"/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374">
        <f t="shared" si="1"/>
        <v>0</v>
      </c>
      <c r="O31" s="631"/>
    </row>
    <row r="32" spans="1:15" ht="12.75">
      <c r="A32" s="630" t="s">
        <v>356</v>
      </c>
      <c r="B32" s="631">
        <v>330051.89</v>
      </c>
      <c r="C32" s="631">
        <v>385906.03</v>
      </c>
      <c r="D32" s="631">
        <v>449404.62</v>
      </c>
      <c r="E32" s="631">
        <v>421717.73</v>
      </c>
      <c r="F32" s="631">
        <v>350476.18</v>
      </c>
      <c r="G32" s="631">
        <v>366743.67</v>
      </c>
      <c r="H32" s="631">
        <v>353434.84</v>
      </c>
      <c r="I32" s="631">
        <v>383862.94</v>
      </c>
      <c r="J32" s="631">
        <v>576162.12</v>
      </c>
      <c r="K32" s="631">
        <v>672675.85</v>
      </c>
      <c r="L32" s="631">
        <v>449918.87</v>
      </c>
      <c r="M32" s="631">
        <v>564266.69</v>
      </c>
      <c r="N32" s="374">
        <f t="shared" si="1"/>
        <v>5304621.43</v>
      </c>
      <c r="O32" s="631"/>
    </row>
    <row r="33" spans="1:15" ht="12.75">
      <c r="A33" s="630" t="s">
        <v>357</v>
      </c>
      <c r="B33" s="631">
        <v>566379.77</v>
      </c>
      <c r="C33" s="631">
        <v>531476.87</v>
      </c>
      <c r="D33" s="631">
        <v>458257.4</v>
      </c>
      <c r="E33" s="631">
        <v>943575.11</v>
      </c>
      <c r="F33" s="631">
        <v>572516.7</v>
      </c>
      <c r="G33" s="631">
        <v>508435.54</v>
      </c>
      <c r="H33" s="631">
        <v>550167.86</v>
      </c>
      <c r="I33" s="631">
        <v>652603.26</v>
      </c>
      <c r="J33" s="631">
        <v>532266.07</v>
      </c>
      <c r="K33" s="631">
        <v>1117015.4</v>
      </c>
      <c r="L33" s="631">
        <v>61682.64</v>
      </c>
      <c r="M33" s="631">
        <v>1366706.27</v>
      </c>
      <c r="N33" s="374">
        <f t="shared" si="1"/>
        <v>7861082.890000001</v>
      </c>
      <c r="O33" s="631"/>
    </row>
    <row r="34" spans="1:15" ht="12.75">
      <c r="A34" s="628" t="s">
        <v>358</v>
      </c>
      <c r="B34" s="631"/>
      <c r="C34" s="631"/>
      <c r="D34" s="631"/>
      <c r="E34" s="631"/>
      <c r="F34" s="631"/>
      <c r="G34" s="631"/>
      <c r="H34" s="631"/>
      <c r="I34" s="631"/>
      <c r="J34" s="631"/>
      <c r="K34" s="631"/>
      <c r="L34" s="631"/>
      <c r="M34" s="631"/>
      <c r="N34" s="629">
        <f t="shared" si="1"/>
        <v>0</v>
      </c>
      <c r="O34" s="631"/>
    </row>
    <row r="35" spans="1:15" ht="12.75">
      <c r="A35" s="632" t="s">
        <v>359</v>
      </c>
      <c r="B35" s="633">
        <f aca="true" t="shared" si="4" ref="B35:M35">SUM(B36:B38)</f>
        <v>132718.95</v>
      </c>
      <c r="C35" s="633">
        <f t="shared" si="4"/>
        <v>157768.55</v>
      </c>
      <c r="D35" s="633">
        <f t="shared" si="4"/>
        <v>19802317</v>
      </c>
      <c r="E35" s="633">
        <f t="shared" si="4"/>
        <v>174671.8</v>
      </c>
      <c r="F35" s="633">
        <f t="shared" si="4"/>
        <v>135271.99</v>
      </c>
      <c r="G35" s="633">
        <f t="shared" si="4"/>
        <v>154860.39</v>
      </c>
      <c r="H35" s="633">
        <f t="shared" si="4"/>
        <v>137435.97</v>
      </c>
      <c r="I35" s="633">
        <f t="shared" si="4"/>
        <v>85255.24</v>
      </c>
      <c r="J35" s="633">
        <f t="shared" si="4"/>
        <v>336152.41</v>
      </c>
      <c r="K35" s="633">
        <f t="shared" si="4"/>
        <v>311315.13</v>
      </c>
      <c r="L35" s="633">
        <f t="shared" si="4"/>
        <v>182619.5</v>
      </c>
      <c r="M35" s="633">
        <f t="shared" si="4"/>
        <v>222815.17</v>
      </c>
      <c r="N35" s="633">
        <f t="shared" si="1"/>
        <v>21833202.099999998</v>
      </c>
      <c r="O35" s="633">
        <f>SUM(O36:O38)</f>
        <v>0</v>
      </c>
    </row>
    <row r="36" spans="1:15" ht="12.75">
      <c r="A36" s="630" t="s">
        <v>360</v>
      </c>
      <c r="B36" s="631"/>
      <c r="C36" s="631"/>
      <c r="D36" s="631"/>
      <c r="E36" s="631"/>
      <c r="F36" s="631"/>
      <c r="G36" s="631"/>
      <c r="H36" s="631"/>
      <c r="I36" s="631"/>
      <c r="J36" s="631"/>
      <c r="K36" s="631"/>
      <c r="L36" s="631"/>
      <c r="M36" s="631"/>
      <c r="N36" s="374">
        <f t="shared" si="1"/>
        <v>0</v>
      </c>
      <c r="O36" s="631"/>
    </row>
    <row r="37" spans="1:15" ht="12.75">
      <c r="A37" s="630" t="s">
        <v>361</v>
      </c>
      <c r="B37" s="631"/>
      <c r="C37" s="631"/>
      <c r="D37" s="631"/>
      <c r="E37" s="631"/>
      <c r="F37" s="631"/>
      <c r="G37" s="631"/>
      <c r="H37" s="631"/>
      <c r="I37" s="631"/>
      <c r="J37" s="631"/>
      <c r="K37" s="631"/>
      <c r="L37" s="631"/>
      <c r="M37" s="631"/>
      <c r="N37" s="374">
        <f t="shared" si="1"/>
        <v>0</v>
      </c>
      <c r="O37" s="631"/>
    </row>
    <row r="38" spans="1:15" ht="12.75">
      <c r="A38" s="630" t="s">
        <v>362</v>
      </c>
      <c r="B38" s="631">
        <v>132718.95</v>
      </c>
      <c r="C38" s="631">
        <v>157768.55</v>
      </c>
      <c r="D38" s="631">
        <v>19802317</v>
      </c>
      <c r="E38" s="631">
        <v>174671.8</v>
      </c>
      <c r="F38" s="631">
        <v>135271.99</v>
      </c>
      <c r="G38" s="631">
        <v>154860.39</v>
      </c>
      <c r="H38" s="631">
        <v>137435.97</v>
      </c>
      <c r="I38" s="631">
        <v>85255.24</v>
      </c>
      <c r="J38" s="631">
        <v>336152.41</v>
      </c>
      <c r="K38" s="631">
        <v>311315.13</v>
      </c>
      <c r="L38" s="631">
        <v>182619.5</v>
      </c>
      <c r="M38" s="631">
        <v>222815.17</v>
      </c>
      <c r="N38" s="374">
        <f t="shared" si="1"/>
        <v>21833202.099999998</v>
      </c>
      <c r="O38" s="631"/>
    </row>
    <row r="39" spans="1:15" ht="12.75">
      <c r="A39" s="493" t="s">
        <v>363</v>
      </c>
      <c r="B39" s="634">
        <f aca="true" t="shared" si="5" ref="B39:M39">+B13-B35</f>
        <v>1496660.71</v>
      </c>
      <c r="C39" s="634">
        <f t="shared" si="5"/>
        <v>1609208.19</v>
      </c>
      <c r="D39" s="634">
        <f t="shared" si="5"/>
        <v>-17820241.97</v>
      </c>
      <c r="E39" s="634">
        <f t="shared" si="5"/>
        <v>2168435.4000000004</v>
      </c>
      <c r="F39" s="634">
        <f t="shared" si="5"/>
        <v>1870013.95</v>
      </c>
      <c r="G39" s="634">
        <f t="shared" si="5"/>
        <v>1621312.1099999999</v>
      </c>
      <c r="H39" s="634">
        <f t="shared" si="5"/>
        <v>1512928.5199999998</v>
      </c>
      <c r="I39" s="634">
        <f t="shared" si="5"/>
        <v>1412357.02</v>
      </c>
      <c r="J39" s="634">
        <f t="shared" si="5"/>
        <v>2474615.4899999993</v>
      </c>
      <c r="K39" s="634">
        <f t="shared" si="5"/>
        <v>3463011.1799999997</v>
      </c>
      <c r="L39" s="634">
        <f t="shared" si="5"/>
        <v>1401665.7</v>
      </c>
      <c r="M39" s="634">
        <f t="shared" si="5"/>
        <v>2882043.01</v>
      </c>
      <c r="N39" s="634">
        <f t="shared" si="1"/>
        <v>4092009.3099999987</v>
      </c>
      <c r="O39" s="634">
        <f>+O13-O35</f>
        <v>0</v>
      </c>
    </row>
    <row r="40" spans="1:15" ht="12.75">
      <c r="A40" s="839" t="s">
        <v>155</v>
      </c>
      <c r="B40" s="839"/>
      <c r="C40" s="839"/>
      <c r="D40" s="839"/>
      <c r="E40" s="839"/>
      <c r="F40" s="839"/>
      <c r="G40" s="839"/>
      <c r="H40" s="839"/>
      <c r="I40" s="839"/>
      <c r="J40" s="839"/>
      <c r="K40" s="839"/>
      <c r="L40" s="839"/>
      <c r="M40" s="839"/>
      <c r="N40" s="839"/>
      <c r="O40" s="839"/>
    </row>
    <row r="42" spans="1:15" s="485" customFormat="1" ht="12.75">
      <c r="A42" s="481"/>
      <c r="B42" s="481"/>
      <c r="C42" s="481"/>
      <c r="D42" s="481"/>
      <c r="E42" s="481"/>
      <c r="F42" s="481"/>
      <c r="G42" s="481"/>
      <c r="I42" s="481"/>
      <c r="J42" s="481"/>
      <c r="K42" s="481"/>
      <c r="L42" s="481"/>
      <c r="M42" s="481"/>
      <c r="N42" s="481"/>
      <c r="O42" s="481"/>
    </row>
  </sheetData>
  <sheetProtection password="C236" sheet="1" objects="1" formatColumns="0" selectLockedCells="1"/>
  <mergeCells count="10">
    <mergeCell ref="A3:O3"/>
    <mergeCell ref="A4:O4"/>
    <mergeCell ref="A5:O5"/>
    <mergeCell ref="A6:O6"/>
    <mergeCell ref="A7:O7"/>
    <mergeCell ref="A40:O40"/>
    <mergeCell ref="A10:A12"/>
    <mergeCell ref="N10:N12"/>
    <mergeCell ref="O10:O11"/>
    <mergeCell ref="B10:M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5"/>
  <sheetViews>
    <sheetView showGridLines="0" zoomScalePageLayoutView="0" workbookViewId="0" topLeftCell="A1">
      <selection activeCell="B16" sqref="B16:E16"/>
    </sheetView>
  </sheetViews>
  <sheetFormatPr defaultColWidth="4.140625" defaultRowHeight="11.25" customHeight="1"/>
  <cols>
    <col min="1" max="1" width="69.57421875" style="539" customWidth="1"/>
    <col min="2" max="5" width="8.28125" style="539" customWidth="1"/>
    <col min="6" max="6" width="13.28125" style="539" customWidth="1"/>
    <col min="7" max="11" width="12.7109375" style="539" customWidth="1"/>
    <col min="12" max="20" width="4.140625" style="539" customWidth="1"/>
    <col min="21" max="21" width="24.00390625" style="539" customWidth="1"/>
    <col min="22" max="29" width="4.140625" style="539" customWidth="1"/>
    <col min="30" max="30" width="12.28125" style="539" bestFit="1" customWidth="1"/>
    <col min="31" max="156" width="4.140625" style="539" customWidth="1"/>
    <col min="157" max="157" width="16.140625" style="539" customWidth="1"/>
    <col min="158" max="158" width="9.00390625" style="539" customWidth="1"/>
    <col min="159" max="16384" width="4.140625" style="539" customWidth="1"/>
  </cols>
  <sheetData>
    <row r="1" ht="11.25" customHeight="1">
      <c r="A1" s="500" t="s">
        <v>364</v>
      </c>
    </row>
    <row r="2" ht="11.25" customHeight="1">
      <c r="A2" s="500"/>
    </row>
    <row r="3" spans="1:6" ht="12.75">
      <c r="A3" s="866" t="str">
        <f>+'Informações Iniciais'!A1</f>
        <v>ESTADO DO MARANHÃO - PREFEITURA MUNICIPAL DE DAVINOPOLIS</v>
      </c>
      <c r="B3" s="866"/>
      <c r="C3" s="866"/>
      <c r="D3" s="866"/>
      <c r="E3" s="866"/>
      <c r="F3" s="866"/>
    </row>
    <row r="4" spans="1:6" ht="12.75">
      <c r="A4" s="867" t="s">
        <v>1</v>
      </c>
      <c r="B4" s="867"/>
      <c r="C4" s="867"/>
      <c r="D4" s="867"/>
      <c r="E4" s="867"/>
      <c r="F4" s="867"/>
    </row>
    <row r="5" spans="1:6" ht="12.75">
      <c r="A5" s="899" t="s">
        <v>365</v>
      </c>
      <c r="B5" s="899"/>
      <c r="C5" s="899"/>
      <c r="D5" s="899"/>
      <c r="E5" s="899"/>
      <c r="F5" s="899"/>
    </row>
    <row r="6" spans="1:6" ht="12.75">
      <c r="A6" s="867" t="s">
        <v>366</v>
      </c>
      <c r="B6" s="867"/>
      <c r="C6" s="867"/>
      <c r="D6" s="867"/>
      <c r="E6" s="867"/>
      <c r="F6" s="867"/>
    </row>
    <row r="7" spans="1:6" ht="12.75">
      <c r="A7" s="866" t="str">
        <f>+'Informações Iniciais'!A5</f>
        <v>1º Bimestre de 2017</v>
      </c>
      <c r="B7" s="866"/>
      <c r="C7" s="866"/>
      <c r="D7" s="866"/>
      <c r="E7" s="866"/>
      <c r="F7" s="866"/>
    </row>
    <row r="8" spans="1:6" ht="11.25" customHeight="1">
      <c r="A8" s="483"/>
      <c r="B8" s="483"/>
      <c r="C8" s="483"/>
      <c r="D8" s="483"/>
      <c r="E8" s="483"/>
      <c r="F8" s="483"/>
    </row>
    <row r="9" spans="1:11" ht="12.75">
      <c r="A9" s="539" t="s">
        <v>367</v>
      </c>
      <c r="E9" s="541"/>
      <c r="J9" s="574"/>
      <c r="K9" s="541" t="s">
        <v>32</v>
      </c>
    </row>
    <row r="10" spans="1:11" ht="12.75" customHeight="1">
      <c r="A10" s="789" t="s">
        <v>368</v>
      </c>
      <c r="B10" s="884" t="s">
        <v>34</v>
      </c>
      <c r="C10" s="885"/>
      <c r="D10" s="885"/>
      <c r="E10" s="885"/>
      <c r="F10" s="992" t="s">
        <v>35</v>
      </c>
      <c r="G10" s="993"/>
      <c r="H10" s="900" t="s">
        <v>36</v>
      </c>
      <c r="I10" s="901"/>
      <c r="J10" s="901"/>
      <c r="K10" s="902"/>
    </row>
    <row r="11" spans="1:11" ht="12.75" customHeight="1">
      <c r="A11" s="790"/>
      <c r="B11" s="990"/>
      <c r="C11" s="991"/>
      <c r="D11" s="991"/>
      <c r="E11" s="991"/>
      <c r="F11" s="994"/>
      <c r="G11" s="995"/>
      <c r="H11" s="884" t="s">
        <v>369</v>
      </c>
      <c r="I11" s="886"/>
      <c r="J11" s="884" t="s">
        <v>369</v>
      </c>
      <c r="K11" s="886"/>
    </row>
    <row r="12" spans="1:159" ht="12.75" customHeight="1">
      <c r="A12" s="791"/>
      <c r="B12" s="897"/>
      <c r="C12" s="898"/>
      <c r="D12" s="898"/>
      <c r="E12" s="898"/>
      <c r="F12" s="905"/>
      <c r="G12" s="906"/>
      <c r="H12" s="903" t="str">
        <f>IF(A7="&lt;SELECIONE O PERÍODO CLICANDO NA SETA AO LADO&gt;","&lt;Exercício&gt;",RIGHT(A7,4))</f>
        <v>2017</v>
      </c>
      <c r="I12" s="904"/>
      <c r="J12" s="905">
        <f>IF(FA12=FALSE,"&lt;Exercício Anterior&gt;",H12-1)</f>
        <v>2016</v>
      </c>
      <c r="K12" s="906"/>
      <c r="FA12" s="501" t="b">
        <f>ISNUMBER(H12*1)</f>
        <v>1</v>
      </c>
      <c r="FB12" s="501">
        <f>H12*1</f>
        <v>2017</v>
      </c>
      <c r="FC12" s="539" t="str">
        <f>H12</f>
        <v>2017</v>
      </c>
    </row>
    <row r="13" spans="1:11" ht="12.75">
      <c r="A13" s="560" t="s">
        <v>370</v>
      </c>
      <c r="B13" s="907">
        <f>+B14+B23+B33+B37+B38+B39</f>
        <v>0</v>
      </c>
      <c r="C13" s="908"/>
      <c r="D13" s="908"/>
      <c r="E13" s="909"/>
      <c r="F13" s="907">
        <f>+B14+B23+B33+B37+B38+B39</f>
        <v>0</v>
      </c>
      <c r="G13" s="909"/>
      <c r="H13" s="907">
        <f>+D14+D23+D33+D37+D38+D39</f>
        <v>0</v>
      </c>
      <c r="I13" s="909"/>
      <c r="J13" s="907">
        <f>+F14+F23+F33+F37+F38+F39</f>
        <v>0</v>
      </c>
      <c r="K13" s="909"/>
    </row>
    <row r="14" spans="1:11" ht="12.75">
      <c r="A14" s="561" t="s">
        <v>371</v>
      </c>
      <c r="B14" s="910">
        <f>+B15+B19</f>
        <v>0</v>
      </c>
      <c r="C14" s="911"/>
      <c r="D14" s="911"/>
      <c r="E14" s="912"/>
      <c r="F14" s="910">
        <f>+F15+F19</f>
        <v>0</v>
      </c>
      <c r="G14" s="912"/>
      <c r="H14" s="910">
        <f>+H15+H19</f>
        <v>0</v>
      </c>
      <c r="I14" s="912"/>
      <c r="J14" s="910">
        <f>+J15+J19</f>
        <v>0</v>
      </c>
      <c r="K14" s="912"/>
    </row>
    <row r="15" spans="1:11" ht="12.75">
      <c r="A15" s="562" t="s">
        <v>372</v>
      </c>
      <c r="B15" s="913">
        <f>SUM(B16:E18)</f>
        <v>0</v>
      </c>
      <c r="C15" s="914"/>
      <c r="D15" s="914"/>
      <c r="E15" s="915"/>
      <c r="F15" s="913">
        <f>SUM(F16:G18)</f>
        <v>0</v>
      </c>
      <c r="G15" s="915"/>
      <c r="H15" s="913">
        <f>SUM(H16:I18)</f>
        <v>0</v>
      </c>
      <c r="I15" s="915"/>
      <c r="J15" s="913">
        <f>SUM(J16:K18)</f>
        <v>0</v>
      </c>
      <c r="K15" s="915"/>
    </row>
    <row r="16" spans="1:11" ht="12.75">
      <c r="A16" s="481" t="s">
        <v>373</v>
      </c>
      <c r="B16" s="916"/>
      <c r="C16" s="917"/>
      <c r="D16" s="917"/>
      <c r="E16" s="918"/>
      <c r="F16" s="916"/>
      <c r="G16" s="918"/>
      <c r="H16" s="804"/>
      <c r="I16" s="805"/>
      <c r="J16" s="804"/>
      <c r="K16" s="805"/>
    </row>
    <row r="17" spans="1:11" ht="12.75">
      <c r="A17" s="481" t="s">
        <v>374</v>
      </c>
      <c r="B17" s="916"/>
      <c r="C17" s="917"/>
      <c r="D17" s="917"/>
      <c r="E17" s="918"/>
      <c r="F17" s="916"/>
      <c r="G17" s="918"/>
      <c r="H17" s="804"/>
      <c r="I17" s="805"/>
      <c r="J17" s="804"/>
      <c r="K17" s="805"/>
    </row>
    <row r="18" spans="1:11" ht="12.75">
      <c r="A18" s="481" t="s">
        <v>375</v>
      </c>
      <c r="B18" s="916"/>
      <c r="C18" s="917"/>
      <c r="D18" s="917"/>
      <c r="E18" s="918"/>
      <c r="F18" s="916"/>
      <c r="G18" s="918"/>
      <c r="H18" s="804"/>
      <c r="I18" s="805"/>
      <c r="J18" s="804"/>
      <c r="K18" s="805"/>
    </row>
    <row r="19" spans="1:11" ht="12.75">
      <c r="A19" s="562" t="s">
        <v>376</v>
      </c>
      <c r="B19" s="913">
        <f>SUM(B20:E22)</f>
        <v>0</v>
      </c>
      <c r="C19" s="914"/>
      <c r="D19" s="914"/>
      <c r="E19" s="915"/>
      <c r="F19" s="913">
        <f>SUM(F20:G22)</f>
        <v>0</v>
      </c>
      <c r="G19" s="915"/>
      <c r="H19" s="913">
        <f>SUM(H20:I22)</f>
        <v>0</v>
      </c>
      <c r="I19" s="915"/>
      <c r="J19" s="913">
        <f>SUM(J20:K22)</f>
        <v>0</v>
      </c>
      <c r="K19" s="915"/>
    </row>
    <row r="20" spans="1:11" ht="12.75">
      <c r="A20" s="481" t="s">
        <v>377</v>
      </c>
      <c r="B20" s="916"/>
      <c r="C20" s="917"/>
      <c r="D20" s="917"/>
      <c r="E20" s="918"/>
      <c r="F20" s="916"/>
      <c r="G20" s="918"/>
      <c r="H20" s="804"/>
      <c r="I20" s="805"/>
      <c r="J20" s="804"/>
      <c r="K20" s="805"/>
    </row>
    <row r="21" spans="1:11" ht="12.75">
      <c r="A21" s="481" t="s">
        <v>378</v>
      </c>
      <c r="B21" s="916"/>
      <c r="C21" s="917"/>
      <c r="D21" s="917"/>
      <c r="E21" s="918"/>
      <c r="F21" s="916"/>
      <c r="G21" s="918"/>
      <c r="H21" s="804"/>
      <c r="I21" s="805"/>
      <c r="J21" s="804"/>
      <c r="K21" s="805"/>
    </row>
    <row r="22" spans="1:11" ht="12.75">
      <c r="A22" s="481" t="s">
        <v>375</v>
      </c>
      <c r="B22" s="916"/>
      <c r="C22" s="917"/>
      <c r="D22" s="917"/>
      <c r="E22" s="918"/>
      <c r="F22" s="916"/>
      <c r="G22" s="918"/>
      <c r="H22" s="804"/>
      <c r="I22" s="805"/>
      <c r="J22" s="804"/>
      <c r="K22" s="805"/>
    </row>
    <row r="23" spans="1:11" ht="12.75">
      <c r="A23" s="561" t="s">
        <v>379</v>
      </c>
      <c r="B23" s="910">
        <f>+B24+B28</f>
        <v>0</v>
      </c>
      <c r="C23" s="911"/>
      <c r="D23" s="911"/>
      <c r="E23" s="912"/>
      <c r="F23" s="910">
        <f>+F24+F28</f>
        <v>0</v>
      </c>
      <c r="G23" s="912"/>
      <c r="H23" s="910">
        <f>+H24+H28</f>
        <v>0</v>
      </c>
      <c r="I23" s="912"/>
      <c r="J23" s="910">
        <f>+J24+J28</f>
        <v>0</v>
      </c>
      <c r="K23" s="912"/>
    </row>
    <row r="24" spans="1:11" ht="12.75">
      <c r="A24" s="562" t="s">
        <v>372</v>
      </c>
      <c r="B24" s="913">
        <f>SUM(B25:E27)</f>
        <v>0</v>
      </c>
      <c r="C24" s="914"/>
      <c r="D24" s="914"/>
      <c r="E24" s="915"/>
      <c r="F24" s="913">
        <f>SUM(F25:G27)</f>
        <v>0</v>
      </c>
      <c r="G24" s="915"/>
      <c r="H24" s="913">
        <f>SUM(H25:I27)</f>
        <v>0</v>
      </c>
      <c r="I24" s="915"/>
      <c r="J24" s="913">
        <f>SUM(J25:K27)</f>
        <v>0</v>
      </c>
      <c r="K24" s="915"/>
    </row>
    <row r="25" spans="1:11" ht="12.75">
      <c r="A25" s="481" t="s">
        <v>373</v>
      </c>
      <c r="B25" s="916"/>
      <c r="C25" s="917"/>
      <c r="D25" s="917"/>
      <c r="E25" s="918"/>
      <c r="F25" s="916"/>
      <c r="G25" s="918"/>
      <c r="H25" s="804"/>
      <c r="I25" s="805"/>
      <c r="J25" s="804"/>
      <c r="K25" s="805"/>
    </row>
    <row r="26" spans="1:11" ht="12.75">
      <c r="A26" s="481" t="s">
        <v>374</v>
      </c>
      <c r="B26" s="916"/>
      <c r="C26" s="917"/>
      <c r="D26" s="917"/>
      <c r="E26" s="918"/>
      <c r="F26" s="916"/>
      <c r="G26" s="918"/>
      <c r="H26" s="804"/>
      <c r="I26" s="805"/>
      <c r="J26" s="804"/>
      <c r="K26" s="805"/>
    </row>
    <row r="27" spans="1:11" ht="12.75">
      <c r="A27" s="481" t="s">
        <v>375</v>
      </c>
      <c r="B27" s="916"/>
      <c r="C27" s="917"/>
      <c r="D27" s="917"/>
      <c r="E27" s="918"/>
      <c r="F27" s="916"/>
      <c r="G27" s="918"/>
      <c r="H27" s="804"/>
      <c r="I27" s="805"/>
      <c r="J27" s="804"/>
      <c r="K27" s="805"/>
    </row>
    <row r="28" spans="1:11" ht="12.75">
      <c r="A28" s="562" t="s">
        <v>376</v>
      </c>
      <c r="B28" s="913">
        <f>SUM(B29:E31)</f>
        <v>0</v>
      </c>
      <c r="C28" s="914"/>
      <c r="D28" s="914"/>
      <c r="E28" s="915"/>
      <c r="F28" s="913">
        <f>SUM(F29:G31)</f>
        <v>0</v>
      </c>
      <c r="G28" s="915"/>
      <c r="H28" s="913">
        <f>SUM(H29:I31)</f>
        <v>0</v>
      </c>
      <c r="I28" s="915"/>
      <c r="J28" s="913">
        <f>SUM(J29:K31)</f>
        <v>0</v>
      </c>
      <c r="K28" s="915"/>
    </row>
    <row r="29" spans="1:11" ht="12.75">
      <c r="A29" s="481" t="s">
        <v>377</v>
      </c>
      <c r="B29" s="916"/>
      <c r="C29" s="917"/>
      <c r="D29" s="917"/>
      <c r="E29" s="918"/>
      <c r="F29" s="916"/>
      <c r="G29" s="918"/>
      <c r="H29" s="804"/>
      <c r="I29" s="805"/>
      <c r="J29" s="804"/>
      <c r="K29" s="805"/>
    </row>
    <row r="30" spans="1:11" ht="12.75">
      <c r="A30" s="481" t="s">
        <v>378</v>
      </c>
      <c r="B30" s="916"/>
      <c r="C30" s="917"/>
      <c r="D30" s="917"/>
      <c r="E30" s="918"/>
      <c r="F30" s="916"/>
      <c r="G30" s="918"/>
      <c r="H30" s="804"/>
      <c r="I30" s="805"/>
      <c r="J30" s="804"/>
      <c r="K30" s="805"/>
    </row>
    <row r="31" spans="1:11" ht="12.75">
      <c r="A31" s="481" t="s">
        <v>375</v>
      </c>
      <c r="B31" s="916"/>
      <c r="C31" s="917"/>
      <c r="D31" s="917"/>
      <c r="E31" s="918"/>
      <c r="F31" s="916"/>
      <c r="G31" s="918"/>
      <c r="H31" s="804"/>
      <c r="I31" s="805"/>
      <c r="J31" s="804"/>
      <c r="K31" s="805"/>
    </row>
    <row r="32" spans="1:11" ht="12.75">
      <c r="A32" s="562" t="s">
        <v>380</v>
      </c>
      <c r="B32" s="916"/>
      <c r="C32" s="917"/>
      <c r="D32" s="917"/>
      <c r="E32" s="918"/>
      <c r="F32" s="916"/>
      <c r="G32" s="918"/>
      <c r="H32" s="916"/>
      <c r="I32" s="918"/>
      <c r="J32" s="916"/>
      <c r="K32" s="918"/>
    </row>
    <row r="33" spans="1:11" ht="12.75">
      <c r="A33" s="561" t="s">
        <v>381</v>
      </c>
      <c r="B33" s="910">
        <f>SUM(B34:E36)</f>
        <v>0</v>
      </c>
      <c r="C33" s="911"/>
      <c r="D33" s="911"/>
      <c r="E33" s="912"/>
      <c r="F33" s="910">
        <f>SUM(F34:G36)</f>
        <v>0</v>
      </c>
      <c r="G33" s="912"/>
      <c r="H33" s="910">
        <f>SUM(H34:I36)</f>
        <v>0</v>
      </c>
      <c r="I33" s="912"/>
      <c r="J33" s="910">
        <f>SUM(J34:K36)</f>
        <v>0</v>
      </c>
      <c r="K33" s="912"/>
    </row>
    <row r="34" spans="1:11" ht="12.75">
      <c r="A34" s="481" t="s">
        <v>58</v>
      </c>
      <c r="B34" s="916"/>
      <c r="C34" s="917"/>
      <c r="D34" s="917"/>
      <c r="E34" s="918"/>
      <c r="F34" s="916"/>
      <c r="G34" s="918"/>
      <c r="H34" s="804"/>
      <c r="I34" s="805"/>
      <c r="J34" s="804"/>
      <c r="K34" s="805"/>
    </row>
    <row r="35" spans="1:11" ht="12.75">
      <c r="A35" s="481" t="s">
        <v>59</v>
      </c>
      <c r="B35" s="916"/>
      <c r="C35" s="917"/>
      <c r="D35" s="917"/>
      <c r="E35" s="918"/>
      <c r="F35" s="916"/>
      <c r="G35" s="918"/>
      <c r="H35" s="804"/>
      <c r="I35" s="805"/>
      <c r="J35" s="804"/>
      <c r="K35" s="805"/>
    </row>
    <row r="36" spans="1:11" ht="12.75">
      <c r="A36" s="481" t="s">
        <v>64</v>
      </c>
      <c r="B36" s="916"/>
      <c r="C36" s="917"/>
      <c r="D36" s="917"/>
      <c r="E36" s="918"/>
      <c r="F36" s="916"/>
      <c r="G36" s="918"/>
      <c r="H36" s="804"/>
      <c r="I36" s="805"/>
      <c r="J36" s="804"/>
      <c r="K36" s="805"/>
    </row>
    <row r="37" spans="1:11" ht="12.75">
      <c r="A37" s="561" t="s">
        <v>382</v>
      </c>
      <c r="B37" s="916"/>
      <c r="C37" s="917"/>
      <c r="D37" s="917"/>
      <c r="E37" s="918"/>
      <c r="F37" s="916"/>
      <c r="G37" s="918"/>
      <c r="H37" s="916"/>
      <c r="I37" s="918"/>
      <c r="J37" s="916"/>
      <c r="K37" s="918"/>
    </row>
    <row r="38" spans="1:11" ht="12.75">
      <c r="A38" s="561" t="s">
        <v>383</v>
      </c>
      <c r="B38" s="916"/>
      <c r="C38" s="917"/>
      <c r="D38" s="917"/>
      <c r="E38" s="918"/>
      <c r="F38" s="916"/>
      <c r="G38" s="918"/>
      <c r="H38" s="916"/>
      <c r="I38" s="918"/>
      <c r="J38" s="916"/>
      <c r="K38" s="918"/>
    </row>
    <row r="39" spans="1:11" ht="12.75">
      <c r="A39" s="561" t="s">
        <v>384</v>
      </c>
      <c r="B39" s="910">
        <f>SUM(B40:E41)</f>
        <v>0</v>
      </c>
      <c r="C39" s="911"/>
      <c r="D39" s="911"/>
      <c r="E39" s="912"/>
      <c r="F39" s="910">
        <f>SUM(F40:G41)</f>
        <v>0</v>
      </c>
      <c r="G39" s="912"/>
      <c r="H39" s="910">
        <f>SUM(H40:I41)</f>
        <v>0</v>
      </c>
      <c r="I39" s="912"/>
      <c r="J39" s="910">
        <f>SUM(J40:K41)</f>
        <v>0</v>
      </c>
      <c r="K39" s="912"/>
    </row>
    <row r="40" spans="1:11" ht="12.75">
      <c r="A40" s="481" t="s">
        <v>385</v>
      </c>
      <c r="B40" s="916"/>
      <c r="C40" s="917"/>
      <c r="D40" s="917"/>
      <c r="E40" s="918"/>
      <c r="F40" s="916"/>
      <c r="G40" s="918"/>
      <c r="H40" s="804"/>
      <c r="I40" s="805"/>
      <c r="J40" s="804"/>
      <c r="K40" s="805"/>
    </row>
    <row r="41" spans="1:11" ht="12.75">
      <c r="A41" s="481" t="s">
        <v>386</v>
      </c>
      <c r="B41" s="916"/>
      <c r="C41" s="917"/>
      <c r="D41" s="917"/>
      <c r="E41" s="918"/>
      <c r="F41" s="916"/>
      <c r="G41" s="918"/>
      <c r="H41" s="804"/>
      <c r="I41" s="805"/>
      <c r="J41" s="804"/>
      <c r="K41" s="805"/>
    </row>
    <row r="42" spans="1:11" ht="12.75">
      <c r="A42" s="563" t="s">
        <v>387</v>
      </c>
      <c r="B42" s="907">
        <f>SUM(B43:E45)</f>
        <v>0</v>
      </c>
      <c r="C42" s="908"/>
      <c r="D42" s="908"/>
      <c r="E42" s="909"/>
      <c r="F42" s="907">
        <f>SUM(F43:G45)</f>
        <v>0</v>
      </c>
      <c r="G42" s="909"/>
      <c r="H42" s="907">
        <f>SUM(H43:I45)</f>
        <v>0</v>
      </c>
      <c r="I42" s="909"/>
      <c r="J42" s="907">
        <f>SUM(J43:K45)</f>
        <v>0</v>
      </c>
      <c r="K42" s="909"/>
    </row>
    <row r="43" spans="1:11" ht="12.75">
      <c r="A43" s="481" t="s">
        <v>388</v>
      </c>
      <c r="B43" s="916"/>
      <c r="C43" s="917"/>
      <c r="D43" s="917"/>
      <c r="E43" s="918"/>
      <c r="F43" s="916"/>
      <c r="G43" s="918"/>
      <c r="H43" s="804"/>
      <c r="I43" s="805"/>
      <c r="J43" s="804"/>
      <c r="K43" s="805"/>
    </row>
    <row r="44" spans="1:11" ht="12.75">
      <c r="A44" s="481" t="s">
        <v>389</v>
      </c>
      <c r="B44" s="916"/>
      <c r="C44" s="917"/>
      <c r="D44" s="917"/>
      <c r="E44" s="918"/>
      <c r="F44" s="916"/>
      <c r="G44" s="918"/>
      <c r="H44" s="804"/>
      <c r="I44" s="805"/>
      <c r="J44" s="804"/>
      <c r="K44" s="805"/>
    </row>
    <row r="45" spans="1:11" ht="12.75">
      <c r="A45" s="481" t="s">
        <v>390</v>
      </c>
      <c r="B45" s="916"/>
      <c r="C45" s="917"/>
      <c r="D45" s="917"/>
      <c r="E45" s="918"/>
      <c r="F45" s="916"/>
      <c r="G45" s="918"/>
      <c r="H45" s="804"/>
      <c r="I45" s="805"/>
      <c r="J45" s="804"/>
      <c r="K45" s="805"/>
    </row>
    <row r="46" spans="1:11" ht="12.75">
      <c r="A46" s="564" t="s">
        <v>391</v>
      </c>
      <c r="B46" s="919">
        <f>+B42+B13</f>
        <v>0</v>
      </c>
      <c r="C46" s="920"/>
      <c r="D46" s="920"/>
      <c r="E46" s="921"/>
      <c r="F46" s="922">
        <f>+F42+F13</f>
        <v>0</v>
      </c>
      <c r="G46" s="923"/>
      <c r="H46" s="922">
        <f>+H42+H13</f>
        <v>0</v>
      </c>
      <c r="I46" s="923"/>
      <c r="J46" s="922">
        <f>+J42+J13</f>
        <v>0</v>
      </c>
      <c r="K46" s="923"/>
    </row>
    <row r="47" spans="2:6" ht="6" customHeight="1">
      <c r="B47" s="480"/>
      <c r="C47" s="480"/>
      <c r="D47" s="480"/>
      <c r="E47" s="480"/>
      <c r="F47" s="495"/>
    </row>
    <row r="48" spans="1:11" ht="44.25" customHeight="1">
      <c r="A48" s="982" t="s">
        <v>392</v>
      </c>
      <c r="B48" s="992" t="s">
        <v>119</v>
      </c>
      <c r="C48" s="993"/>
      <c r="D48" s="996" t="s">
        <v>120</v>
      </c>
      <c r="E48" s="997"/>
      <c r="F48" s="900" t="s">
        <v>121</v>
      </c>
      <c r="G48" s="902"/>
      <c r="H48" s="900" t="s">
        <v>122</v>
      </c>
      <c r="I48" s="902"/>
      <c r="J48" s="900" t="s">
        <v>163</v>
      </c>
      <c r="K48" s="902"/>
    </row>
    <row r="49" spans="1:11" ht="17.25" customHeight="1">
      <c r="A49" s="983"/>
      <c r="B49" s="994"/>
      <c r="C49" s="995"/>
      <c r="D49" s="998"/>
      <c r="E49" s="999"/>
      <c r="F49" s="507" t="s">
        <v>369</v>
      </c>
      <c r="G49" s="507" t="s">
        <v>369</v>
      </c>
      <c r="H49" s="507" t="s">
        <v>369</v>
      </c>
      <c r="I49" s="507" t="s">
        <v>369</v>
      </c>
      <c r="J49" s="487" t="s">
        <v>393</v>
      </c>
      <c r="K49" s="487" t="s">
        <v>393</v>
      </c>
    </row>
    <row r="50" spans="1:11" ht="25.5">
      <c r="A50" s="984"/>
      <c r="B50" s="905"/>
      <c r="C50" s="906"/>
      <c r="D50" s="1000"/>
      <c r="E50" s="1001"/>
      <c r="F50" s="511" t="str">
        <f>#N/A</f>
        <v>&lt;Exercício&gt;</v>
      </c>
      <c r="G50" s="511" t="str">
        <f>#N/A</f>
        <v>&lt;Exercício Anterior&gt;</v>
      </c>
      <c r="H50" s="511" t="str">
        <f>#N/A</f>
        <v>&lt;Exercício&gt;</v>
      </c>
      <c r="I50" s="511" t="str">
        <f>#N/A</f>
        <v>&lt;Exercício Anterior&gt;</v>
      </c>
      <c r="J50" s="511" t="str">
        <f>#N/A</f>
        <v>&lt;Exercício&gt;</v>
      </c>
      <c r="K50" s="489" t="str">
        <f>#N/A</f>
        <v>&lt;Exercício Anterior&gt;</v>
      </c>
    </row>
    <row r="51" spans="1:11" ht="12.75">
      <c r="A51" s="565" t="s">
        <v>394</v>
      </c>
      <c r="B51" s="924">
        <f>SUM(B52:C53)</f>
        <v>0</v>
      </c>
      <c r="C51" s="925"/>
      <c r="D51" s="924">
        <f>SUM(D52:E53)</f>
        <v>0</v>
      </c>
      <c r="E51" s="925"/>
      <c r="F51" s="566">
        <f aca="true" t="shared" si="0" ref="F51:K51">SUM(F52:F53)</f>
        <v>0</v>
      </c>
      <c r="G51" s="566">
        <f t="shared" si="0"/>
        <v>0</v>
      </c>
      <c r="H51" s="566">
        <f t="shared" si="0"/>
        <v>0</v>
      </c>
      <c r="I51" s="566">
        <f t="shared" si="0"/>
        <v>0</v>
      </c>
      <c r="J51" s="566">
        <f t="shared" si="0"/>
        <v>0</v>
      </c>
      <c r="K51" s="575">
        <f t="shared" si="0"/>
        <v>0</v>
      </c>
    </row>
    <row r="52" spans="1:11" ht="12.75">
      <c r="A52" s="567" t="s">
        <v>395</v>
      </c>
      <c r="B52" s="806"/>
      <c r="C52" s="807"/>
      <c r="D52" s="806"/>
      <c r="E52" s="807"/>
      <c r="F52" s="568"/>
      <c r="G52" s="568"/>
      <c r="H52" s="568"/>
      <c r="I52" s="568"/>
      <c r="J52" s="568"/>
      <c r="K52" s="576"/>
    </row>
    <row r="53" spans="1:11" ht="12.75">
      <c r="A53" s="567" t="s">
        <v>396</v>
      </c>
      <c r="B53" s="806"/>
      <c r="C53" s="807"/>
      <c r="D53" s="806"/>
      <c r="E53" s="807"/>
      <c r="F53" s="568"/>
      <c r="G53" s="568"/>
      <c r="H53" s="568"/>
      <c r="I53" s="568"/>
      <c r="J53" s="568"/>
      <c r="K53" s="576"/>
    </row>
    <row r="54" spans="1:11" ht="12.75">
      <c r="A54" s="569" t="s">
        <v>397</v>
      </c>
      <c r="B54" s="924">
        <f>+B55+B59+B63</f>
        <v>0</v>
      </c>
      <c r="C54" s="925"/>
      <c r="D54" s="924">
        <f>+D55+D59+D63</f>
        <v>0</v>
      </c>
      <c r="E54" s="925"/>
      <c r="F54" s="570">
        <f aca="true" t="shared" si="1" ref="F54:K54">+F55+F59+F63</f>
        <v>0</v>
      </c>
      <c r="G54" s="570">
        <f t="shared" si="1"/>
        <v>0</v>
      </c>
      <c r="H54" s="570">
        <f t="shared" si="1"/>
        <v>0</v>
      </c>
      <c r="I54" s="570">
        <f t="shared" si="1"/>
        <v>0</v>
      </c>
      <c r="J54" s="570">
        <f t="shared" si="1"/>
        <v>0</v>
      </c>
      <c r="K54" s="575">
        <f t="shared" si="1"/>
        <v>0</v>
      </c>
    </row>
    <row r="55" spans="1:11" ht="12.75">
      <c r="A55" s="571" t="s">
        <v>398</v>
      </c>
      <c r="B55" s="926">
        <f>SUM(B56:C58)</f>
        <v>0</v>
      </c>
      <c r="C55" s="927"/>
      <c r="D55" s="926">
        <f>SUM(D56:E58)</f>
        <v>0</v>
      </c>
      <c r="E55" s="927"/>
      <c r="F55" s="572">
        <f aca="true" t="shared" si="2" ref="F55:K55">SUM(F56:F58)</f>
        <v>0</v>
      </c>
      <c r="G55" s="572">
        <f t="shared" si="2"/>
        <v>0</v>
      </c>
      <c r="H55" s="572">
        <f t="shared" si="2"/>
        <v>0</v>
      </c>
      <c r="I55" s="572">
        <f t="shared" si="2"/>
        <v>0</v>
      </c>
      <c r="J55" s="572">
        <f t="shared" si="2"/>
        <v>0</v>
      </c>
      <c r="K55" s="577">
        <f t="shared" si="2"/>
        <v>0</v>
      </c>
    </row>
    <row r="56" spans="1:11" ht="12.75">
      <c r="A56" s="567" t="s">
        <v>399</v>
      </c>
      <c r="B56" s="806"/>
      <c r="C56" s="807"/>
      <c r="D56" s="806"/>
      <c r="E56" s="807"/>
      <c r="F56" s="573"/>
      <c r="G56" s="573"/>
      <c r="H56" s="573"/>
      <c r="I56" s="573"/>
      <c r="J56" s="573"/>
      <c r="K56" s="576"/>
    </row>
    <row r="57" spans="1:11" ht="12.75">
      <c r="A57" s="567" t="s">
        <v>400</v>
      </c>
      <c r="B57" s="806"/>
      <c r="C57" s="807"/>
      <c r="D57" s="806"/>
      <c r="E57" s="807"/>
      <c r="F57" s="573"/>
      <c r="G57" s="573"/>
      <c r="H57" s="573"/>
      <c r="I57" s="573"/>
      <c r="J57" s="573"/>
      <c r="K57" s="576"/>
    </row>
    <row r="58" spans="1:11" ht="12.75">
      <c r="A58" s="567" t="s">
        <v>401</v>
      </c>
      <c r="B58" s="806"/>
      <c r="C58" s="807"/>
      <c r="D58" s="806"/>
      <c r="E58" s="807"/>
      <c r="F58" s="573"/>
      <c r="G58" s="573"/>
      <c r="H58" s="573"/>
      <c r="I58" s="573"/>
      <c r="J58" s="573"/>
      <c r="K58" s="576"/>
    </row>
    <row r="59" spans="1:11" ht="12.75">
      <c r="A59" s="571" t="s">
        <v>402</v>
      </c>
      <c r="B59" s="926">
        <f>SUM(B60:C62)</f>
        <v>0</v>
      </c>
      <c r="C59" s="927"/>
      <c r="D59" s="926">
        <f>SUM(D60:E62)</f>
        <v>0</v>
      </c>
      <c r="E59" s="927"/>
      <c r="F59" s="572">
        <f aca="true" t="shared" si="3" ref="F59:K59">SUM(F60:F62)</f>
        <v>0</v>
      </c>
      <c r="G59" s="572">
        <f t="shared" si="3"/>
        <v>0</v>
      </c>
      <c r="H59" s="572">
        <f t="shared" si="3"/>
        <v>0</v>
      </c>
      <c r="I59" s="572">
        <f t="shared" si="3"/>
        <v>0</v>
      </c>
      <c r="J59" s="572">
        <f t="shared" si="3"/>
        <v>0</v>
      </c>
      <c r="K59" s="577">
        <f t="shared" si="3"/>
        <v>0</v>
      </c>
    </row>
    <row r="60" spans="1:11" ht="12.75">
      <c r="A60" s="567" t="s">
        <v>403</v>
      </c>
      <c r="B60" s="806"/>
      <c r="C60" s="807"/>
      <c r="D60" s="806"/>
      <c r="E60" s="807"/>
      <c r="F60" s="573"/>
      <c r="G60" s="573"/>
      <c r="H60" s="573"/>
      <c r="I60" s="573"/>
      <c r="J60" s="573"/>
      <c r="K60" s="576"/>
    </row>
    <row r="61" spans="1:11" ht="12.75">
      <c r="A61" s="567" t="s">
        <v>400</v>
      </c>
      <c r="B61" s="806"/>
      <c r="C61" s="807"/>
      <c r="D61" s="806"/>
      <c r="E61" s="807"/>
      <c r="F61" s="573"/>
      <c r="G61" s="573"/>
      <c r="H61" s="573"/>
      <c r="I61" s="573"/>
      <c r="J61" s="573"/>
      <c r="K61" s="576"/>
    </row>
    <row r="62" spans="1:11" ht="12.75">
      <c r="A62" s="567" t="s">
        <v>401</v>
      </c>
      <c r="B62" s="806"/>
      <c r="C62" s="807"/>
      <c r="D62" s="806"/>
      <c r="E62" s="807"/>
      <c r="F62" s="573"/>
      <c r="G62" s="573"/>
      <c r="H62" s="573"/>
      <c r="I62" s="573"/>
      <c r="J62" s="573"/>
      <c r="K62" s="576"/>
    </row>
    <row r="63" spans="1:11" ht="12.75">
      <c r="A63" s="571" t="s">
        <v>404</v>
      </c>
      <c r="B63" s="926">
        <f>SUM(B64:C65)</f>
        <v>0</v>
      </c>
      <c r="C63" s="927"/>
      <c r="D63" s="926">
        <f>SUM(D64:E65)</f>
        <v>0</v>
      </c>
      <c r="E63" s="927"/>
      <c r="F63" s="572">
        <f aca="true" t="shared" si="4" ref="F63:K63">SUM(F64:F65)</f>
        <v>0</v>
      </c>
      <c r="G63" s="572">
        <f t="shared" si="4"/>
        <v>0</v>
      </c>
      <c r="H63" s="572">
        <f t="shared" si="4"/>
        <v>0</v>
      </c>
      <c r="I63" s="572">
        <f t="shared" si="4"/>
        <v>0</v>
      </c>
      <c r="J63" s="572">
        <f t="shared" si="4"/>
        <v>0</v>
      </c>
      <c r="K63" s="577">
        <f t="shared" si="4"/>
        <v>0</v>
      </c>
    </row>
    <row r="64" spans="1:11" ht="12.75">
      <c r="A64" s="567" t="s">
        <v>405</v>
      </c>
      <c r="B64" s="806"/>
      <c r="C64" s="807"/>
      <c r="D64" s="806"/>
      <c r="E64" s="807"/>
      <c r="F64" s="573"/>
      <c r="G64" s="573"/>
      <c r="H64" s="573"/>
      <c r="I64" s="573"/>
      <c r="J64" s="573"/>
      <c r="K64" s="576"/>
    </row>
    <row r="65" spans="1:11" ht="12.75">
      <c r="A65" s="567" t="s">
        <v>406</v>
      </c>
      <c r="B65" s="806"/>
      <c r="C65" s="807"/>
      <c r="D65" s="806"/>
      <c r="E65" s="807"/>
      <c r="F65" s="573"/>
      <c r="G65" s="573"/>
      <c r="H65" s="573"/>
      <c r="I65" s="573"/>
      <c r="J65" s="573"/>
      <c r="K65" s="576"/>
    </row>
    <row r="66" spans="1:11" ht="12.75">
      <c r="A66" s="578" t="s">
        <v>407</v>
      </c>
      <c r="B66" s="928">
        <f aca="true" t="shared" si="5" ref="B66:K66">+B54+B51</f>
        <v>0</v>
      </c>
      <c r="C66" s="929"/>
      <c r="D66" s="928">
        <f t="shared" si="5"/>
        <v>0</v>
      </c>
      <c r="E66" s="929"/>
      <c r="F66" s="579">
        <f t="shared" si="5"/>
        <v>0</v>
      </c>
      <c r="G66" s="579">
        <f t="shared" si="5"/>
        <v>0</v>
      </c>
      <c r="H66" s="579">
        <f t="shared" si="5"/>
        <v>0</v>
      </c>
      <c r="I66" s="579">
        <f t="shared" si="5"/>
        <v>0</v>
      </c>
      <c r="J66" s="579">
        <f t="shared" si="5"/>
        <v>0</v>
      </c>
      <c r="K66" s="604">
        <f t="shared" si="5"/>
        <v>0</v>
      </c>
    </row>
    <row r="67" spans="1:6" s="536" customFormat="1" ht="6" customHeight="1">
      <c r="A67" s="580"/>
      <c r="B67" s="581"/>
      <c r="C67" s="581"/>
      <c r="D67" s="582"/>
      <c r="E67" s="582"/>
      <c r="F67" s="582"/>
    </row>
    <row r="68" spans="1:19" ht="12.75">
      <c r="A68" s="583" t="s">
        <v>408</v>
      </c>
      <c r="B68" s="928">
        <f>+B46-B66</f>
        <v>0</v>
      </c>
      <c r="C68" s="929"/>
      <c r="D68" s="930">
        <f>+F46-D66</f>
        <v>0</v>
      </c>
      <c r="E68" s="931"/>
      <c r="F68" s="584">
        <f>+H46-F66</f>
        <v>0</v>
      </c>
      <c r="G68" s="579">
        <f>+J46-G66</f>
        <v>0</v>
      </c>
      <c r="H68" s="579">
        <f>+H46-H66</f>
        <v>0</v>
      </c>
      <c r="I68" s="579">
        <f>+J46-I66</f>
        <v>0</v>
      </c>
      <c r="J68" s="605"/>
      <c r="K68" s="605"/>
      <c r="L68" s="606"/>
      <c r="M68" s="606"/>
      <c r="N68" s="606"/>
      <c r="O68" s="606"/>
      <c r="P68" s="606"/>
      <c r="Q68" s="606"/>
      <c r="R68" s="606"/>
      <c r="S68" s="606"/>
    </row>
    <row r="69" spans="1:19" ht="6" customHeight="1">
      <c r="A69" s="585"/>
      <c r="B69" s="456"/>
      <c r="C69" s="456"/>
      <c r="D69" s="586"/>
      <c r="E69" s="586"/>
      <c r="F69" s="587"/>
      <c r="G69" s="588"/>
      <c r="H69" s="588"/>
      <c r="I69" s="588"/>
      <c r="J69" s="607"/>
      <c r="K69" s="607"/>
      <c r="L69" s="606"/>
      <c r="M69" s="606"/>
      <c r="N69" s="606"/>
      <c r="O69" s="606"/>
      <c r="P69" s="606"/>
      <c r="Q69" s="606"/>
      <c r="R69" s="606"/>
      <c r="S69" s="606"/>
    </row>
    <row r="70" spans="1:19" ht="12.75">
      <c r="A70" s="583" t="s">
        <v>409</v>
      </c>
      <c r="B70" s="932" t="s">
        <v>410</v>
      </c>
      <c r="C70" s="932"/>
      <c r="D70" s="932"/>
      <c r="E70" s="932"/>
      <c r="F70" s="932"/>
      <c r="G70" s="932"/>
      <c r="H70" s="932"/>
      <c r="I70" s="932"/>
      <c r="J70" s="932"/>
      <c r="K70" s="932"/>
      <c r="L70" s="606"/>
      <c r="M70" s="606"/>
      <c r="N70" s="606"/>
      <c r="O70" s="606"/>
      <c r="P70" s="606"/>
      <c r="Q70" s="606"/>
      <c r="R70" s="606"/>
      <c r="S70" s="606"/>
    </row>
    <row r="71" spans="1:19" ht="12.75">
      <c r="A71" s="589" t="s">
        <v>411</v>
      </c>
      <c r="B71" s="933"/>
      <c r="C71" s="933"/>
      <c r="D71" s="933"/>
      <c r="E71" s="933"/>
      <c r="F71" s="933"/>
      <c r="G71" s="933"/>
      <c r="H71" s="933"/>
      <c r="I71" s="933"/>
      <c r="J71" s="933"/>
      <c r="K71" s="933"/>
      <c r="L71" s="606"/>
      <c r="M71" s="606"/>
      <c r="N71" s="606"/>
      <c r="O71" s="606"/>
      <c r="P71" s="606"/>
      <c r="Q71" s="606"/>
      <c r="R71" s="606"/>
      <c r="S71" s="606"/>
    </row>
    <row r="72" spans="1:19" ht="6" customHeight="1">
      <c r="A72" s="585"/>
      <c r="B72" s="456"/>
      <c r="C72" s="456"/>
      <c r="D72" s="586"/>
      <c r="E72" s="586"/>
      <c r="F72" s="587"/>
      <c r="G72" s="588"/>
      <c r="H72" s="588"/>
      <c r="I72" s="588"/>
      <c r="J72" s="607"/>
      <c r="K72" s="607"/>
      <c r="L72" s="606"/>
      <c r="M72" s="606"/>
      <c r="N72" s="606"/>
      <c r="O72" s="606"/>
      <c r="P72" s="606"/>
      <c r="Q72" s="606"/>
      <c r="R72" s="606"/>
      <c r="S72" s="606"/>
    </row>
    <row r="73" spans="1:11" ht="12.75" customHeight="1">
      <c r="A73" s="590" t="s">
        <v>412</v>
      </c>
      <c r="B73" s="841" t="s">
        <v>410</v>
      </c>
      <c r="C73" s="842"/>
      <c r="D73" s="842"/>
      <c r="E73" s="842"/>
      <c r="F73" s="842"/>
      <c r="G73" s="842"/>
      <c r="H73" s="842"/>
      <c r="I73" s="842"/>
      <c r="J73" s="842"/>
      <c r="K73" s="843"/>
    </row>
    <row r="74" spans="1:11" ht="12.75">
      <c r="A74" s="591" t="s">
        <v>411</v>
      </c>
      <c r="B74" s="934"/>
      <c r="C74" s="935"/>
      <c r="D74" s="935"/>
      <c r="E74" s="935"/>
      <c r="F74" s="935"/>
      <c r="G74" s="935"/>
      <c r="H74" s="935"/>
      <c r="I74" s="935"/>
      <c r="J74" s="935"/>
      <c r="K74" s="936"/>
    </row>
    <row r="75" spans="1:6" ht="6" customHeight="1">
      <c r="A75" s="536"/>
      <c r="B75" s="592"/>
      <c r="C75" s="593"/>
      <c r="D75" s="593"/>
      <c r="E75" s="593"/>
      <c r="F75" s="593"/>
    </row>
    <row r="76" spans="1:11" ht="12.75" customHeight="1">
      <c r="A76" s="872" t="s">
        <v>413</v>
      </c>
      <c r="B76" s="884" t="s">
        <v>414</v>
      </c>
      <c r="C76" s="885"/>
      <c r="D76" s="885"/>
      <c r="E76" s="885"/>
      <c r="F76" s="885"/>
      <c r="G76" s="885"/>
      <c r="H76" s="885"/>
      <c r="I76" s="885"/>
      <c r="J76" s="885"/>
      <c r="K76" s="886"/>
    </row>
    <row r="77" spans="1:11" ht="12.75">
      <c r="A77" s="873"/>
      <c r="B77" s="990"/>
      <c r="C77" s="991"/>
      <c r="D77" s="991"/>
      <c r="E77" s="991"/>
      <c r="F77" s="991"/>
      <c r="G77" s="991"/>
      <c r="H77" s="991"/>
      <c r="I77" s="991"/>
      <c r="J77" s="991"/>
      <c r="K77" s="887"/>
    </row>
    <row r="78" spans="1:11" ht="12.75">
      <c r="A78" s="874"/>
      <c r="B78" s="897"/>
      <c r="C78" s="898"/>
      <c r="D78" s="898"/>
      <c r="E78" s="898"/>
      <c r="F78" s="898"/>
      <c r="G78" s="898"/>
      <c r="H78" s="898"/>
      <c r="I78" s="898"/>
      <c r="J78" s="898"/>
      <c r="K78" s="888"/>
    </row>
    <row r="79" spans="1:11" ht="12.75">
      <c r="A79" s="594" t="s">
        <v>415</v>
      </c>
      <c r="B79" s="937"/>
      <c r="C79" s="938"/>
      <c r="D79" s="938"/>
      <c r="E79" s="938"/>
      <c r="F79" s="938"/>
      <c r="G79" s="938"/>
      <c r="H79" s="938"/>
      <c r="I79" s="938"/>
      <c r="J79" s="938"/>
      <c r="K79" s="939"/>
    </row>
    <row r="80" spans="1:11" ht="12.75">
      <c r="A80" s="594" t="s">
        <v>416</v>
      </c>
      <c r="B80" s="940"/>
      <c r="C80" s="941"/>
      <c r="D80" s="941"/>
      <c r="E80" s="941"/>
      <c r="F80" s="941"/>
      <c r="G80" s="941"/>
      <c r="H80" s="941"/>
      <c r="I80" s="941"/>
      <c r="J80" s="941"/>
      <c r="K80" s="942"/>
    </row>
    <row r="81" spans="1:11" ht="12.75">
      <c r="A81" s="594" t="s">
        <v>417</v>
      </c>
      <c r="B81" s="940"/>
      <c r="C81" s="941"/>
      <c r="D81" s="941"/>
      <c r="E81" s="941"/>
      <c r="F81" s="941"/>
      <c r="G81" s="941"/>
      <c r="H81" s="941"/>
      <c r="I81" s="941"/>
      <c r="J81" s="941"/>
      <c r="K81" s="942"/>
    </row>
    <row r="82" spans="1:11" ht="12.75">
      <c r="A82" s="595" t="s">
        <v>418</v>
      </c>
      <c r="B82" s="943"/>
      <c r="C82" s="944"/>
      <c r="D82" s="944"/>
      <c r="E82" s="944"/>
      <c r="F82" s="944"/>
      <c r="G82" s="944"/>
      <c r="H82" s="944"/>
      <c r="I82" s="944"/>
      <c r="J82" s="944"/>
      <c r="K82" s="945"/>
    </row>
    <row r="83" spans="1:7" ht="6" customHeight="1">
      <c r="A83" s="596"/>
      <c r="B83" s="596"/>
      <c r="C83" s="596"/>
      <c r="D83" s="596"/>
      <c r="E83" s="596"/>
      <c r="F83" s="596"/>
      <c r="G83" s="536"/>
    </row>
    <row r="84" spans="1:11" ht="12.75" customHeight="1">
      <c r="A84" s="985" t="s">
        <v>419</v>
      </c>
      <c r="B84" s="946" t="s">
        <v>420</v>
      </c>
      <c r="C84" s="947"/>
      <c r="D84" s="947"/>
      <c r="E84" s="947"/>
      <c r="F84" s="947"/>
      <c r="G84" s="947"/>
      <c r="H84" s="947"/>
      <c r="I84" s="947"/>
      <c r="J84" s="947"/>
      <c r="K84" s="948"/>
    </row>
    <row r="85" spans="1:11" ht="12.75" customHeight="1">
      <c r="A85" s="986"/>
      <c r="B85" s="900" t="str">
        <f>+F50</f>
        <v>&lt;Exercício&gt;</v>
      </c>
      <c r="C85" s="901"/>
      <c r="D85" s="901"/>
      <c r="E85" s="901"/>
      <c r="F85" s="901"/>
      <c r="G85" s="902"/>
      <c r="H85" s="900" t="str">
        <f>+G50</f>
        <v>&lt;Exercício Anterior&gt;</v>
      </c>
      <c r="I85" s="901"/>
      <c r="J85" s="901"/>
      <c r="K85" s="902"/>
    </row>
    <row r="86" spans="1:11" ht="12.75">
      <c r="A86" s="597" t="s">
        <v>421</v>
      </c>
      <c r="B86" s="949"/>
      <c r="C86" s="950"/>
      <c r="D86" s="950"/>
      <c r="E86" s="950"/>
      <c r="F86" s="950"/>
      <c r="G86" s="951"/>
      <c r="H86" s="952"/>
      <c r="I86" s="953"/>
      <c r="J86" s="953"/>
      <c r="K86" s="954"/>
    </row>
    <row r="87" spans="1:11" ht="12.75">
      <c r="A87" s="598" t="s">
        <v>422</v>
      </c>
      <c r="B87" s="916"/>
      <c r="C87" s="917"/>
      <c r="D87" s="917"/>
      <c r="E87" s="917"/>
      <c r="F87" s="917"/>
      <c r="G87" s="918"/>
      <c r="H87" s="955"/>
      <c r="I87" s="956"/>
      <c r="J87" s="956"/>
      <c r="K87" s="957"/>
    </row>
    <row r="88" spans="1:11" ht="12.75">
      <c r="A88" s="599" t="s">
        <v>423</v>
      </c>
      <c r="B88" s="958"/>
      <c r="C88" s="959"/>
      <c r="D88" s="959"/>
      <c r="E88" s="959"/>
      <c r="F88" s="959"/>
      <c r="G88" s="960"/>
      <c r="H88" s="961"/>
      <c r="I88" s="962"/>
      <c r="J88" s="962"/>
      <c r="K88" s="963"/>
    </row>
    <row r="89" spans="1:6" s="536" customFormat="1" ht="6" customHeight="1">
      <c r="A89" s="600"/>
      <c r="B89" s="601"/>
      <c r="C89" s="601"/>
      <c r="D89" s="485"/>
      <c r="E89" s="485"/>
      <c r="F89" s="485"/>
    </row>
    <row r="90" spans="1:11" ht="15.75">
      <c r="A90" s="964" t="s">
        <v>424</v>
      </c>
      <c r="B90" s="964"/>
      <c r="C90" s="964"/>
      <c r="D90" s="964"/>
      <c r="E90" s="964"/>
      <c r="F90" s="964"/>
      <c r="G90" s="964"/>
      <c r="H90" s="964"/>
      <c r="I90" s="964"/>
      <c r="J90" s="964"/>
      <c r="K90" s="964"/>
    </row>
    <row r="91" spans="1:11" ht="12.75" customHeight="1">
      <c r="A91" s="790" t="s">
        <v>425</v>
      </c>
      <c r="B91" s="990" t="s">
        <v>34</v>
      </c>
      <c r="C91" s="991"/>
      <c r="D91" s="991"/>
      <c r="E91" s="991"/>
      <c r="F91" s="994" t="s">
        <v>35</v>
      </c>
      <c r="G91" s="995"/>
      <c r="H91" s="905" t="s">
        <v>36</v>
      </c>
      <c r="I91" s="965"/>
      <c r="J91" s="965"/>
      <c r="K91" s="906"/>
    </row>
    <row r="92" spans="1:11" ht="12.75">
      <c r="A92" s="790"/>
      <c r="B92" s="990"/>
      <c r="C92" s="991"/>
      <c r="D92" s="991"/>
      <c r="E92" s="991"/>
      <c r="F92" s="994"/>
      <c r="G92" s="995"/>
      <c r="H92" s="884" t="s">
        <v>369</v>
      </c>
      <c r="I92" s="886"/>
      <c r="J92" s="884" t="s">
        <v>369</v>
      </c>
      <c r="K92" s="886"/>
    </row>
    <row r="93" spans="1:11" ht="12.75">
      <c r="A93" s="791"/>
      <c r="B93" s="897"/>
      <c r="C93" s="898"/>
      <c r="D93" s="898"/>
      <c r="E93" s="898"/>
      <c r="F93" s="905"/>
      <c r="G93" s="906"/>
      <c r="H93" s="905" t="str">
        <f>+F50</f>
        <v>&lt;Exercício&gt;</v>
      </c>
      <c r="I93" s="906"/>
      <c r="J93" s="897" t="str">
        <f>+G50</f>
        <v>&lt;Exercício Anterior&gt;</v>
      </c>
      <c r="K93" s="888"/>
    </row>
    <row r="94" spans="1:11" ht="12.75">
      <c r="A94" s="485" t="s">
        <v>426</v>
      </c>
      <c r="B94" s="966">
        <f>+B95+B104+B114+B118+B119</f>
        <v>0</v>
      </c>
      <c r="C94" s="967"/>
      <c r="D94" s="967"/>
      <c r="E94" s="968"/>
      <c r="F94" s="966">
        <f>+F95+F104+F114+F118+F119</f>
        <v>0</v>
      </c>
      <c r="G94" s="968"/>
      <c r="H94" s="966">
        <f>+H95+H104+H114+H118+H119</f>
        <v>0</v>
      </c>
      <c r="I94" s="968"/>
      <c r="J94" s="966">
        <f>+J95+J104+J114+J118+J119</f>
        <v>0</v>
      </c>
      <c r="K94" s="968"/>
    </row>
    <row r="95" spans="1:11" ht="12.75">
      <c r="A95" s="561" t="s">
        <v>427</v>
      </c>
      <c r="B95" s="910">
        <f>+B96+B100</f>
        <v>0</v>
      </c>
      <c r="C95" s="911"/>
      <c r="D95" s="911"/>
      <c r="E95" s="912"/>
      <c r="F95" s="910">
        <f>+F96+F100</f>
        <v>0</v>
      </c>
      <c r="G95" s="912"/>
      <c r="H95" s="910">
        <f>+H96+H100</f>
        <v>0</v>
      </c>
      <c r="I95" s="912"/>
      <c r="J95" s="910">
        <f>+J96+J100</f>
        <v>0</v>
      </c>
      <c r="K95" s="912"/>
    </row>
    <row r="96" spans="1:11" ht="12.75">
      <c r="A96" s="562" t="s">
        <v>428</v>
      </c>
      <c r="B96" s="913">
        <f>SUM(B97:E99)</f>
        <v>0</v>
      </c>
      <c r="C96" s="914"/>
      <c r="D96" s="914"/>
      <c r="E96" s="915"/>
      <c r="F96" s="913">
        <f>SUM(F97:G99)</f>
        <v>0</v>
      </c>
      <c r="G96" s="915"/>
      <c r="H96" s="913">
        <f>SUM(H97:I99)</f>
        <v>0</v>
      </c>
      <c r="I96" s="915"/>
      <c r="J96" s="913">
        <f>SUM(J97:K99)</f>
        <v>0</v>
      </c>
      <c r="K96" s="915"/>
    </row>
    <row r="97" spans="1:11" ht="12.75">
      <c r="A97" s="481" t="s">
        <v>429</v>
      </c>
      <c r="B97" s="916"/>
      <c r="C97" s="917"/>
      <c r="D97" s="917"/>
      <c r="E97" s="918"/>
      <c r="F97" s="916"/>
      <c r="G97" s="918"/>
      <c r="H97" s="804"/>
      <c r="I97" s="805"/>
      <c r="J97" s="804"/>
      <c r="K97" s="805"/>
    </row>
    <row r="98" spans="1:11" ht="12.75">
      <c r="A98" s="481" t="s">
        <v>430</v>
      </c>
      <c r="B98" s="916"/>
      <c r="C98" s="917"/>
      <c r="D98" s="917"/>
      <c r="E98" s="918"/>
      <c r="F98" s="916"/>
      <c r="G98" s="918"/>
      <c r="H98" s="804"/>
      <c r="I98" s="805"/>
      <c r="J98" s="804"/>
      <c r="K98" s="805"/>
    </row>
    <row r="99" spans="1:11" ht="12.75">
      <c r="A99" s="481" t="s">
        <v>431</v>
      </c>
      <c r="B99" s="916"/>
      <c r="C99" s="917"/>
      <c r="D99" s="917"/>
      <c r="E99" s="918"/>
      <c r="F99" s="916"/>
      <c r="G99" s="918"/>
      <c r="H99" s="804"/>
      <c r="I99" s="805"/>
      <c r="J99" s="804"/>
      <c r="K99" s="805"/>
    </row>
    <row r="100" spans="1:11" ht="12.75">
      <c r="A100" s="562" t="s">
        <v>432</v>
      </c>
      <c r="B100" s="913">
        <f>SUM(B101:E103)</f>
        <v>0</v>
      </c>
      <c r="C100" s="914"/>
      <c r="D100" s="914"/>
      <c r="E100" s="915"/>
      <c r="F100" s="913">
        <f>SUM(F101:G103)</f>
        <v>0</v>
      </c>
      <c r="G100" s="915"/>
      <c r="H100" s="913">
        <f>SUM(H101:I103)</f>
        <v>0</v>
      </c>
      <c r="I100" s="915"/>
      <c r="J100" s="913">
        <f>SUM(J101:K103)</f>
        <v>0</v>
      </c>
      <c r="K100" s="915"/>
    </row>
    <row r="101" spans="1:11" ht="12.75">
      <c r="A101" s="481" t="s">
        <v>429</v>
      </c>
      <c r="B101" s="916"/>
      <c r="C101" s="917"/>
      <c r="D101" s="917"/>
      <c r="E101" s="918"/>
      <c r="F101" s="916"/>
      <c r="G101" s="918"/>
      <c r="H101" s="804"/>
      <c r="I101" s="805"/>
      <c r="J101" s="804"/>
      <c r="K101" s="805"/>
    </row>
    <row r="102" spans="1:11" ht="12.75">
      <c r="A102" s="481" t="s">
        <v>430</v>
      </c>
      <c r="B102" s="916"/>
      <c r="C102" s="917"/>
      <c r="D102" s="917"/>
      <c r="E102" s="918"/>
      <c r="F102" s="916"/>
      <c r="G102" s="918"/>
      <c r="H102" s="804"/>
      <c r="I102" s="805"/>
      <c r="J102" s="804"/>
      <c r="K102" s="805"/>
    </row>
    <row r="103" spans="1:11" ht="12.75">
      <c r="A103" s="481" t="s">
        <v>431</v>
      </c>
      <c r="B103" s="916"/>
      <c r="C103" s="917"/>
      <c r="D103" s="917"/>
      <c r="E103" s="918"/>
      <c r="F103" s="916"/>
      <c r="G103" s="918"/>
      <c r="H103" s="804"/>
      <c r="I103" s="805"/>
      <c r="J103" s="804"/>
      <c r="K103" s="805"/>
    </row>
    <row r="104" spans="1:11" ht="12.75">
      <c r="A104" s="561" t="s">
        <v>433</v>
      </c>
      <c r="B104" s="910">
        <f>+B105+B109+B113</f>
        <v>0</v>
      </c>
      <c r="C104" s="911"/>
      <c r="D104" s="911"/>
      <c r="E104" s="912"/>
      <c r="F104" s="910">
        <f>+F105+F109+F113</f>
        <v>0</v>
      </c>
      <c r="G104" s="912"/>
      <c r="H104" s="910">
        <f>+H105+H109+H113</f>
        <v>0</v>
      </c>
      <c r="I104" s="912"/>
      <c r="J104" s="910">
        <f>+J105+J109+J113</f>
        <v>0</v>
      </c>
      <c r="K104" s="912"/>
    </row>
    <row r="105" spans="1:11" ht="12.75">
      <c r="A105" s="562" t="s">
        <v>428</v>
      </c>
      <c r="B105" s="913">
        <f>SUM(B106:E108)</f>
        <v>0</v>
      </c>
      <c r="C105" s="914"/>
      <c r="D105" s="914"/>
      <c r="E105" s="915"/>
      <c r="F105" s="913">
        <f>SUM(F106:G108)</f>
        <v>0</v>
      </c>
      <c r="G105" s="915"/>
      <c r="H105" s="913">
        <f>SUM(H106:I108)</f>
        <v>0</v>
      </c>
      <c r="I105" s="915"/>
      <c r="J105" s="913">
        <f>SUM(J106:K108)</f>
        <v>0</v>
      </c>
      <c r="K105" s="915"/>
    </row>
    <row r="106" spans="1:11" ht="12.75">
      <c r="A106" s="481" t="s">
        <v>429</v>
      </c>
      <c r="B106" s="916"/>
      <c r="C106" s="917"/>
      <c r="D106" s="917"/>
      <c r="E106" s="918"/>
      <c r="F106" s="916"/>
      <c r="G106" s="918"/>
      <c r="H106" s="804"/>
      <c r="I106" s="805"/>
      <c r="J106" s="804"/>
      <c r="K106" s="805"/>
    </row>
    <row r="107" spans="1:11" ht="12.75">
      <c r="A107" s="481" t="s">
        <v>430</v>
      </c>
      <c r="B107" s="916"/>
      <c r="C107" s="917"/>
      <c r="D107" s="917"/>
      <c r="E107" s="918"/>
      <c r="F107" s="916"/>
      <c r="G107" s="918"/>
      <c r="H107" s="804"/>
      <c r="I107" s="805"/>
      <c r="J107" s="804"/>
      <c r="K107" s="805"/>
    </row>
    <row r="108" spans="1:11" ht="12.75">
      <c r="A108" s="481" t="s">
        <v>431</v>
      </c>
      <c r="B108" s="916"/>
      <c r="C108" s="917"/>
      <c r="D108" s="917"/>
      <c r="E108" s="918"/>
      <c r="F108" s="916"/>
      <c r="G108" s="918"/>
      <c r="H108" s="804"/>
      <c r="I108" s="805"/>
      <c r="J108" s="804"/>
      <c r="K108" s="805"/>
    </row>
    <row r="109" spans="1:11" ht="12.75">
      <c r="A109" s="562" t="s">
        <v>432</v>
      </c>
      <c r="B109" s="913">
        <f>SUM(B110:E112)</f>
        <v>0</v>
      </c>
      <c r="C109" s="914"/>
      <c r="D109" s="914"/>
      <c r="E109" s="915"/>
      <c r="F109" s="913">
        <f>SUM(F110:G112)</f>
        <v>0</v>
      </c>
      <c r="G109" s="915"/>
      <c r="H109" s="913">
        <f>SUM(H110:I112)</f>
        <v>0</v>
      </c>
      <c r="I109" s="915"/>
      <c r="J109" s="913">
        <f>SUM(J110:K112)</f>
        <v>0</v>
      </c>
      <c r="K109" s="915"/>
    </row>
    <row r="110" spans="1:11" ht="12.75">
      <c r="A110" s="481" t="s">
        <v>429</v>
      </c>
      <c r="B110" s="916"/>
      <c r="C110" s="917"/>
      <c r="D110" s="917"/>
      <c r="E110" s="918"/>
      <c r="F110" s="916"/>
      <c r="G110" s="918"/>
      <c r="H110" s="804"/>
      <c r="I110" s="805"/>
      <c r="J110" s="804"/>
      <c r="K110" s="805"/>
    </row>
    <row r="111" spans="1:11" ht="12.75">
      <c r="A111" s="481" t="s">
        <v>430</v>
      </c>
      <c r="B111" s="916"/>
      <c r="C111" s="917"/>
      <c r="D111" s="917"/>
      <c r="E111" s="918"/>
      <c r="F111" s="916"/>
      <c r="G111" s="918"/>
      <c r="H111" s="804"/>
      <c r="I111" s="805"/>
      <c r="J111" s="804"/>
      <c r="K111" s="805"/>
    </row>
    <row r="112" spans="1:11" ht="12.75">
      <c r="A112" s="481" t="s">
        <v>431</v>
      </c>
      <c r="B112" s="916"/>
      <c r="C112" s="917"/>
      <c r="D112" s="917"/>
      <c r="E112" s="918"/>
      <c r="F112" s="916"/>
      <c r="G112" s="918"/>
      <c r="H112" s="804"/>
      <c r="I112" s="805"/>
      <c r="J112" s="804"/>
      <c r="K112" s="805"/>
    </row>
    <row r="113" spans="1:11" ht="12.75">
      <c r="A113" s="562" t="s">
        <v>434</v>
      </c>
      <c r="B113" s="913"/>
      <c r="C113" s="914"/>
      <c r="D113" s="914"/>
      <c r="E113" s="915"/>
      <c r="F113" s="913"/>
      <c r="G113" s="915"/>
      <c r="H113" s="913"/>
      <c r="I113" s="915"/>
      <c r="J113" s="913"/>
      <c r="K113" s="915"/>
    </row>
    <row r="114" spans="1:11" ht="12.75">
      <c r="A114" s="561" t="s">
        <v>345</v>
      </c>
      <c r="B114" s="910">
        <f>SUM(B115:E117)</f>
        <v>0</v>
      </c>
      <c r="C114" s="911"/>
      <c r="D114" s="911"/>
      <c r="E114" s="912"/>
      <c r="F114" s="910">
        <f>SUM(F115:G117)</f>
        <v>0</v>
      </c>
      <c r="G114" s="912"/>
      <c r="H114" s="910">
        <f>SUM(H115:I117)</f>
        <v>0</v>
      </c>
      <c r="I114" s="912"/>
      <c r="J114" s="910">
        <f>SUM(J115:K117)</f>
        <v>0</v>
      </c>
      <c r="K114" s="912"/>
    </row>
    <row r="115" spans="1:11" ht="12.75">
      <c r="A115" s="481" t="s">
        <v>435</v>
      </c>
      <c r="B115" s="916"/>
      <c r="C115" s="917"/>
      <c r="D115" s="917"/>
      <c r="E115" s="918"/>
      <c r="F115" s="916"/>
      <c r="G115" s="918"/>
      <c r="H115" s="804"/>
      <c r="I115" s="805"/>
      <c r="J115" s="804"/>
      <c r="K115" s="805"/>
    </row>
    <row r="116" spans="1:11" ht="12.75">
      <c r="A116" s="481" t="s">
        <v>436</v>
      </c>
      <c r="B116" s="916"/>
      <c r="C116" s="917"/>
      <c r="D116" s="917"/>
      <c r="E116" s="918"/>
      <c r="F116" s="916"/>
      <c r="G116" s="918"/>
      <c r="H116" s="804"/>
      <c r="I116" s="805"/>
      <c r="J116" s="804"/>
      <c r="K116" s="805"/>
    </row>
    <row r="117" spans="1:11" ht="12.75">
      <c r="A117" s="481" t="s">
        <v>437</v>
      </c>
      <c r="B117" s="916"/>
      <c r="C117" s="917"/>
      <c r="D117" s="917"/>
      <c r="E117" s="918"/>
      <c r="F117" s="916"/>
      <c r="G117" s="918"/>
      <c r="H117" s="804"/>
      <c r="I117" s="805"/>
      <c r="J117" s="804"/>
      <c r="K117" s="805"/>
    </row>
    <row r="118" spans="1:11" ht="12.75">
      <c r="A118" s="561" t="s">
        <v>348</v>
      </c>
      <c r="B118" s="916"/>
      <c r="C118" s="917"/>
      <c r="D118" s="917"/>
      <c r="E118" s="918"/>
      <c r="F118" s="916"/>
      <c r="G118" s="918"/>
      <c r="H118" s="916"/>
      <c r="I118" s="918"/>
      <c r="J118" s="916"/>
      <c r="K118" s="918"/>
    </row>
    <row r="119" spans="1:11" ht="12.75">
      <c r="A119" s="561" t="s">
        <v>358</v>
      </c>
      <c r="B119" s="910">
        <f>SUM(B120:E121)</f>
        <v>0</v>
      </c>
      <c r="C119" s="911"/>
      <c r="D119" s="911"/>
      <c r="E119" s="912"/>
      <c r="F119" s="910">
        <f>SUM(F120:G121)</f>
        <v>0</v>
      </c>
      <c r="G119" s="912"/>
      <c r="H119" s="910">
        <f>SUM(H120:I121)</f>
        <v>0</v>
      </c>
      <c r="I119" s="912"/>
      <c r="J119" s="910">
        <f>SUM(J120:K121)</f>
        <v>0</v>
      </c>
      <c r="K119" s="912"/>
    </row>
    <row r="120" spans="1:11" ht="12.75">
      <c r="A120" s="481" t="s">
        <v>438</v>
      </c>
      <c r="B120" s="916"/>
      <c r="C120" s="917"/>
      <c r="D120" s="917"/>
      <c r="E120" s="918"/>
      <c r="F120" s="916"/>
      <c r="G120" s="918"/>
      <c r="H120" s="804"/>
      <c r="I120" s="805"/>
      <c r="J120" s="804"/>
      <c r="K120" s="805"/>
    </row>
    <row r="121" spans="1:11" ht="12.75">
      <c r="A121" s="481" t="s">
        <v>439</v>
      </c>
      <c r="B121" s="916"/>
      <c r="C121" s="917"/>
      <c r="D121" s="917"/>
      <c r="E121" s="918"/>
      <c r="F121" s="916"/>
      <c r="G121" s="918"/>
      <c r="H121" s="804"/>
      <c r="I121" s="805"/>
      <c r="J121" s="804"/>
      <c r="K121" s="805"/>
    </row>
    <row r="122" spans="1:11" ht="12.75">
      <c r="A122" s="481" t="s">
        <v>440</v>
      </c>
      <c r="B122" s="966">
        <f>SUM(B123:E125)</f>
        <v>0</v>
      </c>
      <c r="C122" s="967"/>
      <c r="D122" s="967"/>
      <c r="E122" s="968"/>
      <c r="F122" s="966">
        <f>SUM(F123:G125)</f>
        <v>0</v>
      </c>
      <c r="G122" s="968"/>
      <c r="H122" s="966">
        <f>SUM(H123:I125)</f>
        <v>0</v>
      </c>
      <c r="I122" s="968"/>
      <c r="J122" s="966">
        <f>SUM(J123:K125)</f>
        <v>0</v>
      </c>
      <c r="K122" s="968"/>
    </row>
    <row r="123" spans="1:11" ht="12.75">
      <c r="A123" s="481" t="s">
        <v>441</v>
      </c>
      <c r="B123" s="916"/>
      <c r="C123" s="917"/>
      <c r="D123" s="917"/>
      <c r="E123" s="918"/>
      <c r="F123" s="916"/>
      <c r="G123" s="918"/>
      <c r="H123" s="804"/>
      <c r="I123" s="805"/>
      <c r="J123" s="804"/>
      <c r="K123" s="805"/>
    </row>
    <row r="124" spans="1:11" ht="12.75">
      <c r="A124" s="481" t="s">
        <v>442</v>
      </c>
      <c r="B124" s="916"/>
      <c r="C124" s="917"/>
      <c r="D124" s="917"/>
      <c r="E124" s="918"/>
      <c r="F124" s="916"/>
      <c r="G124" s="918"/>
      <c r="H124" s="804"/>
      <c r="I124" s="805"/>
      <c r="J124" s="804"/>
      <c r="K124" s="805"/>
    </row>
    <row r="125" spans="1:11" ht="12.75">
      <c r="A125" s="481" t="s">
        <v>443</v>
      </c>
      <c r="B125" s="916"/>
      <c r="C125" s="917"/>
      <c r="D125" s="917"/>
      <c r="E125" s="918"/>
      <c r="F125" s="916"/>
      <c r="G125" s="918"/>
      <c r="H125" s="804"/>
      <c r="I125" s="805"/>
      <c r="J125" s="804"/>
      <c r="K125" s="805"/>
    </row>
    <row r="126" spans="1:11" ht="25.5">
      <c r="A126" s="602" t="s">
        <v>444</v>
      </c>
      <c r="B126" s="969">
        <f>+B94+B122</f>
        <v>0</v>
      </c>
      <c r="C126" s="969"/>
      <c r="D126" s="969"/>
      <c r="E126" s="969"/>
      <c r="F126" s="969">
        <f>+F94+F122</f>
        <v>0</v>
      </c>
      <c r="G126" s="969"/>
      <c r="H126" s="969">
        <f>+H94+H122</f>
        <v>0</v>
      </c>
      <c r="I126" s="969"/>
      <c r="J126" s="969">
        <f>+J94+J122</f>
        <v>0</v>
      </c>
      <c r="K126" s="969"/>
    </row>
    <row r="127" spans="1:6" ht="6" customHeight="1">
      <c r="A127" s="485"/>
      <c r="B127" s="495"/>
      <c r="C127" s="495"/>
      <c r="D127" s="603"/>
      <c r="E127" s="603"/>
      <c r="F127" s="603"/>
    </row>
    <row r="128" spans="1:11" ht="24.75" customHeight="1">
      <c r="A128" s="987" t="s">
        <v>392</v>
      </c>
      <c r="B128" s="1002" t="s">
        <v>119</v>
      </c>
      <c r="C128" s="1002"/>
      <c r="D128" s="1003" t="s">
        <v>120</v>
      </c>
      <c r="E128" s="997"/>
      <c r="F128" s="900" t="s">
        <v>121</v>
      </c>
      <c r="G128" s="902"/>
      <c r="H128" s="900" t="s">
        <v>122</v>
      </c>
      <c r="I128" s="902"/>
      <c r="J128" s="900" t="s">
        <v>163</v>
      </c>
      <c r="K128" s="902"/>
    </row>
    <row r="129" spans="1:11" ht="12.75" customHeight="1">
      <c r="A129" s="988"/>
      <c r="B129" s="1002"/>
      <c r="C129" s="1002"/>
      <c r="D129" s="1004"/>
      <c r="E129" s="999"/>
      <c r="F129" s="507" t="s">
        <v>369</v>
      </c>
      <c r="G129" s="507" t="s">
        <v>369</v>
      </c>
      <c r="H129" s="507" t="s">
        <v>369</v>
      </c>
      <c r="I129" s="507" t="s">
        <v>369</v>
      </c>
      <c r="J129" s="487" t="s">
        <v>393</v>
      </c>
      <c r="K129" s="487" t="s">
        <v>393</v>
      </c>
    </row>
    <row r="130" spans="1:11" ht="12.75">
      <c r="A130" s="989"/>
      <c r="B130" s="1002"/>
      <c r="C130" s="1002"/>
      <c r="D130" s="1005"/>
      <c r="E130" s="1001"/>
      <c r="F130" s="511" t="str">
        <f>+H$12</f>
        <v>2017</v>
      </c>
      <c r="G130" s="511">
        <f>+J$12</f>
        <v>2016</v>
      </c>
      <c r="H130" s="511" t="str">
        <f>+F130</f>
        <v>2017</v>
      </c>
      <c r="I130" s="511">
        <f>G130</f>
        <v>2016</v>
      </c>
      <c r="J130" s="489" t="str">
        <f>+F130</f>
        <v>2017</v>
      </c>
      <c r="K130" s="489">
        <f>I130</f>
        <v>2016</v>
      </c>
    </row>
    <row r="131" spans="1:11" ht="12.75" customHeight="1">
      <c r="A131" s="608" t="s">
        <v>445</v>
      </c>
      <c r="B131" s="970">
        <f>SUM(B132:C133)</f>
        <v>0</v>
      </c>
      <c r="C131" s="971"/>
      <c r="D131" s="970">
        <f>SUM(D132:E133)</f>
        <v>0</v>
      </c>
      <c r="E131" s="971"/>
      <c r="F131" s="609">
        <f aca="true" t="shared" si="6" ref="F131:K131">SUM(F132:F133)</f>
        <v>0</v>
      </c>
      <c r="G131" s="609">
        <f t="shared" si="6"/>
        <v>0</v>
      </c>
      <c r="H131" s="609">
        <f t="shared" si="6"/>
        <v>0</v>
      </c>
      <c r="I131" s="609">
        <f t="shared" si="6"/>
        <v>0</v>
      </c>
      <c r="J131" s="609">
        <f t="shared" si="6"/>
        <v>0</v>
      </c>
      <c r="K131" s="618">
        <f t="shared" si="6"/>
        <v>0</v>
      </c>
    </row>
    <row r="132" spans="1:11" ht="12.75">
      <c r="A132" s="610" t="s">
        <v>446</v>
      </c>
      <c r="B132" s="804"/>
      <c r="C132" s="805"/>
      <c r="D132" s="804"/>
      <c r="E132" s="805"/>
      <c r="F132" s="573"/>
      <c r="G132" s="370"/>
      <c r="H132" s="370"/>
      <c r="I132" s="370"/>
      <c r="J132" s="370"/>
      <c r="K132" s="619"/>
    </row>
    <row r="133" spans="1:11" ht="12.75">
      <c r="A133" s="610" t="s">
        <v>447</v>
      </c>
      <c r="B133" s="804"/>
      <c r="C133" s="805"/>
      <c r="D133" s="804"/>
      <c r="E133" s="805"/>
      <c r="F133" s="573"/>
      <c r="G133" s="370"/>
      <c r="H133" s="370"/>
      <c r="I133" s="370"/>
      <c r="J133" s="370"/>
      <c r="K133" s="619"/>
    </row>
    <row r="134" spans="1:11" ht="12.75">
      <c r="A134" s="610" t="s">
        <v>448</v>
      </c>
      <c r="B134" s="972">
        <f aca="true" t="shared" si="7" ref="B134:K134">+B135+B139+B143</f>
        <v>0</v>
      </c>
      <c r="C134" s="973"/>
      <c r="D134" s="972">
        <f t="shared" si="7"/>
        <v>0</v>
      </c>
      <c r="E134" s="973"/>
      <c r="F134" s="609">
        <f t="shared" si="7"/>
        <v>0</v>
      </c>
      <c r="G134" s="609">
        <f t="shared" si="7"/>
        <v>0</v>
      </c>
      <c r="H134" s="609">
        <f t="shared" si="7"/>
        <v>0</v>
      </c>
      <c r="I134" s="609">
        <f t="shared" si="7"/>
        <v>0</v>
      </c>
      <c r="J134" s="609">
        <f t="shared" si="7"/>
        <v>0</v>
      </c>
      <c r="K134" s="620">
        <f t="shared" si="7"/>
        <v>0</v>
      </c>
    </row>
    <row r="135" spans="1:11" ht="12.75">
      <c r="A135" s="610" t="s">
        <v>449</v>
      </c>
      <c r="B135" s="972">
        <f>+B136+B137+B138</f>
        <v>0</v>
      </c>
      <c r="C135" s="973"/>
      <c r="D135" s="972">
        <f>+D136+D137+D138</f>
        <v>0</v>
      </c>
      <c r="E135" s="973"/>
      <c r="F135" s="609">
        <f aca="true" t="shared" si="8" ref="F135:K135">SUM(F136:F138)</f>
        <v>0</v>
      </c>
      <c r="G135" s="609">
        <f t="shared" si="8"/>
        <v>0</v>
      </c>
      <c r="H135" s="609">
        <f t="shared" si="8"/>
        <v>0</v>
      </c>
      <c r="I135" s="609">
        <f t="shared" si="8"/>
        <v>0</v>
      </c>
      <c r="J135" s="609">
        <f t="shared" si="8"/>
        <v>0</v>
      </c>
      <c r="K135" s="620">
        <f t="shared" si="8"/>
        <v>0</v>
      </c>
    </row>
    <row r="136" spans="1:11" ht="12.75">
      <c r="A136" s="610" t="s">
        <v>450</v>
      </c>
      <c r="B136" s="804"/>
      <c r="C136" s="805"/>
      <c r="D136" s="804"/>
      <c r="E136" s="805"/>
      <c r="F136" s="573"/>
      <c r="G136" s="573"/>
      <c r="H136" s="573"/>
      <c r="I136" s="573"/>
      <c r="J136" s="573"/>
      <c r="K136" s="576"/>
    </row>
    <row r="137" spans="1:11" ht="12.75">
      <c r="A137" s="610" t="s">
        <v>451</v>
      </c>
      <c r="B137" s="804"/>
      <c r="C137" s="805"/>
      <c r="D137" s="804"/>
      <c r="E137" s="805"/>
      <c r="F137" s="573"/>
      <c r="G137" s="573"/>
      <c r="H137" s="573"/>
      <c r="I137" s="573"/>
      <c r="J137" s="573"/>
      <c r="K137" s="576"/>
    </row>
    <row r="138" spans="1:11" ht="12.75">
      <c r="A138" s="610" t="s">
        <v>452</v>
      </c>
      <c r="B138" s="804"/>
      <c r="C138" s="805"/>
      <c r="D138" s="804"/>
      <c r="E138" s="805"/>
      <c r="F138" s="573"/>
      <c r="G138" s="573"/>
      <c r="H138" s="573"/>
      <c r="I138" s="573"/>
      <c r="J138" s="573"/>
      <c r="K138" s="576"/>
    </row>
    <row r="139" spans="1:11" ht="12.75">
      <c r="A139" s="610" t="s">
        <v>453</v>
      </c>
      <c r="B139" s="972">
        <f>+B140+B141+B142</f>
        <v>0</v>
      </c>
      <c r="C139" s="973"/>
      <c r="D139" s="972">
        <f>+D140+D141+D142</f>
        <v>0</v>
      </c>
      <c r="E139" s="973"/>
      <c r="F139" s="609">
        <f aca="true" t="shared" si="9" ref="F139:K139">SUM(F140:F142)</f>
        <v>0</v>
      </c>
      <c r="G139" s="609">
        <f t="shared" si="9"/>
        <v>0</v>
      </c>
      <c r="H139" s="609">
        <f t="shared" si="9"/>
        <v>0</v>
      </c>
      <c r="I139" s="609">
        <f t="shared" si="9"/>
        <v>0</v>
      </c>
      <c r="J139" s="609">
        <f t="shared" si="9"/>
        <v>0</v>
      </c>
      <c r="K139" s="620">
        <f t="shared" si="9"/>
        <v>0</v>
      </c>
    </row>
    <row r="140" spans="1:11" ht="12.75">
      <c r="A140" s="610" t="s">
        <v>454</v>
      </c>
      <c r="B140" s="804"/>
      <c r="C140" s="805"/>
      <c r="D140" s="804"/>
      <c r="E140" s="805"/>
      <c r="F140" s="573"/>
      <c r="G140" s="573"/>
      <c r="H140" s="573"/>
      <c r="I140" s="573"/>
      <c r="J140" s="573"/>
      <c r="K140" s="576"/>
    </row>
    <row r="141" spans="1:11" ht="12.75">
      <c r="A141" s="610" t="s">
        <v>451</v>
      </c>
      <c r="B141" s="804"/>
      <c r="C141" s="805"/>
      <c r="D141" s="804"/>
      <c r="E141" s="805"/>
      <c r="F141" s="573"/>
      <c r="G141" s="573"/>
      <c r="H141" s="573"/>
      <c r="I141" s="573"/>
      <c r="J141" s="573"/>
      <c r="K141" s="576"/>
    </row>
    <row r="142" spans="1:11" ht="12.75">
      <c r="A142" s="610" t="s">
        <v>452</v>
      </c>
      <c r="B142" s="804"/>
      <c r="C142" s="805"/>
      <c r="D142" s="804"/>
      <c r="E142" s="805"/>
      <c r="F142" s="573"/>
      <c r="G142" s="573"/>
      <c r="H142" s="573"/>
      <c r="I142" s="573"/>
      <c r="J142" s="573"/>
      <c r="K142" s="576"/>
    </row>
    <row r="143" spans="1:11" ht="12.75">
      <c r="A143" s="610" t="s">
        <v>455</v>
      </c>
      <c r="B143" s="972">
        <f aca="true" t="shared" si="10" ref="B143:K143">+B144+B145</f>
        <v>0</v>
      </c>
      <c r="C143" s="973"/>
      <c r="D143" s="972">
        <f t="shared" si="10"/>
        <v>0</v>
      </c>
      <c r="E143" s="973"/>
      <c r="F143" s="609">
        <f t="shared" si="10"/>
        <v>0</v>
      </c>
      <c r="G143" s="609">
        <f t="shared" si="10"/>
        <v>0</v>
      </c>
      <c r="H143" s="609">
        <f t="shared" si="10"/>
        <v>0</v>
      </c>
      <c r="I143" s="609">
        <f t="shared" si="10"/>
        <v>0</v>
      </c>
      <c r="J143" s="609">
        <f t="shared" si="10"/>
        <v>0</v>
      </c>
      <c r="K143" s="620">
        <f t="shared" si="10"/>
        <v>0</v>
      </c>
    </row>
    <row r="144" spans="1:11" ht="12.75">
      <c r="A144" s="610" t="s">
        <v>438</v>
      </c>
      <c r="B144" s="804"/>
      <c r="C144" s="805"/>
      <c r="D144" s="804"/>
      <c r="E144" s="805"/>
      <c r="F144" s="611"/>
      <c r="G144" s="612"/>
      <c r="H144" s="612"/>
      <c r="I144" s="612"/>
      <c r="J144" s="612"/>
      <c r="K144" s="621"/>
    </row>
    <row r="145" spans="1:11" ht="12.75">
      <c r="A145" s="613" t="s">
        <v>456</v>
      </c>
      <c r="B145" s="844"/>
      <c r="C145" s="845"/>
      <c r="D145" s="844"/>
      <c r="E145" s="845"/>
      <c r="F145" s="614"/>
      <c r="G145" s="470"/>
      <c r="H145" s="470"/>
      <c r="I145" s="470"/>
      <c r="J145" s="470"/>
      <c r="K145" s="622"/>
    </row>
    <row r="146" spans="1:11" ht="12.75">
      <c r="A146" s="615" t="s">
        <v>457</v>
      </c>
      <c r="B146" s="974">
        <f>B131+B134</f>
        <v>0</v>
      </c>
      <c r="C146" s="974"/>
      <c r="D146" s="974">
        <f>D131+D134</f>
        <v>0</v>
      </c>
      <c r="E146" s="974"/>
      <c r="F146" s="579">
        <f aca="true" t="shared" si="11" ref="F146:K146">+F131+F134</f>
        <v>0</v>
      </c>
      <c r="G146" s="579">
        <f t="shared" si="11"/>
        <v>0</v>
      </c>
      <c r="H146" s="579">
        <f t="shared" si="11"/>
        <v>0</v>
      </c>
      <c r="I146" s="579">
        <f t="shared" si="11"/>
        <v>0</v>
      </c>
      <c r="J146" s="579">
        <f t="shared" si="11"/>
        <v>0</v>
      </c>
      <c r="K146" s="579">
        <f t="shared" si="11"/>
        <v>0</v>
      </c>
    </row>
    <row r="147" spans="1:11" ht="6" customHeight="1">
      <c r="A147" s="616"/>
      <c r="B147" s="512"/>
      <c r="C147" s="512"/>
      <c r="D147" s="512"/>
      <c r="E147" s="512"/>
      <c r="F147" s="587"/>
      <c r="G147" s="587"/>
      <c r="H147" s="587"/>
      <c r="I147" s="587"/>
      <c r="J147" s="587"/>
      <c r="K147" s="587"/>
    </row>
    <row r="148" spans="1:11" ht="12.75">
      <c r="A148" s="615" t="s">
        <v>458</v>
      </c>
      <c r="B148" s="974">
        <f>B133</f>
        <v>0</v>
      </c>
      <c r="C148" s="974"/>
      <c r="D148" s="974">
        <f>D133</f>
        <v>0</v>
      </c>
      <c r="E148" s="974"/>
      <c r="F148" s="579">
        <f aca="true" t="shared" si="12" ref="F148:K148">+F133</f>
        <v>0</v>
      </c>
      <c r="G148" s="579">
        <f t="shared" si="12"/>
        <v>0</v>
      </c>
      <c r="H148" s="579">
        <f t="shared" si="12"/>
        <v>0</v>
      </c>
      <c r="I148" s="579">
        <f t="shared" si="12"/>
        <v>0</v>
      </c>
      <c r="J148" s="579">
        <f t="shared" si="12"/>
        <v>0</v>
      </c>
      <c r="K148" s="579">
        <f t="shared" si="12"/>
        <v>0</v>
      </c>
    </row>
    <row r="149" spans="1:11" ht="6" customHeight="1">
      <c r="A149" s="616"/>
      <c r="B149" s="512"/>
      <c r="C149" s="512"/>
      <c r="D149" s="512"/>
      <c r="E149" s="512"/>
      <c r="F149" s="587"/>
      <c r="G149" s="587"/>
      <c r="H149" s="587"/>
      <c r="I149" s="587"/>
      <c r="J149" s="587"/>
      <c r="K149" s="587"/>
    </row>
    <row r="150" spans="1:11" ht="12.75">
      <c r="A150" s="615" t="s">
        <v>459</v>
      </c>
      <c r="B150" s="974" t="s">
        <v>414</v>
      </c>
      <c r="C150" s="974"/>
      <c r="D150" s="974"/>
      <c r="E150" s="974"/>
      <c r="F150" s="974"/>
      <c r="G150" s="974"/>
      <c r="H150" s="974"/>
      <c r="I150" s="974"/>
      <c r="J150" s="974"/>
      <c r="K150" s="974"/>
    </row>
    <row r="151" spans="1:11" ht="12.75">
      <c r="A151" s="616" t="s">
        <v>460</v>
      </c>
      <c r="B151" s="975"/>
      <c r="C151" s="976"/>
      <c r="D151" s="976"/>
      <c r="E151" s="976"/>
      <c r="F151" s="976"/>
      <c r="G151" s="976"/>
      <c r="H151" s="976"/>
      <c r="I151" s="976"/>
      <c r="J151" s="976"/>
      <c r="K151" s="977"/>
    </row>
    <row r="152" spans="1:11" ht="12.75">
      <c r="A152" s="617" t="s">
        <v>461</v>
      </c>
      <c r="B152" s="978"/>
      <c r="C152" s="979"/>
      <c r="D152" s="979"/>
      <c r="E152" s="979"/>
      <c r="F152" s="979"/>
      <c r="G152" s="979"/>
      <c r="H152" s="979"/>
      <c r="I152" s="979"/>
      <c r="J152" s="979"/>
      <c r="K152" s="980"/>
    </row>
    <row r="153" spans="1:11" ht="18.75" customHeight="1">
      <c r="A153" s="981" t="s">
        <v>155</v>
      </c>
      <c r="B153" s="981"/>
      <c r="C153" s="981"/>
      <c r="D153" s="981"/>
      <c r="E153" s="981"/>
      <c r="F153" s="981"/>
      <c r="G153" s="981"/>
      <c r="H153" s="981"/>
      <c r="I153" s="981"/>
      <c r="J153" s="981"/>
      <c r="K153" s="981"/>
    </row>
    <row r="154" s="536" customFormat="1" ht="11.25" customHeight="1"/>
    <row r="155" spans="1:10" ht="11.25" customHeight="1">
      <c r="A155" s="871"/>
      <c r="B155" s="871"/>
      <c r="C155" s="871"/>
      <c r="D155" s="871"/>
      <c r="E155" s="871"/>
      <c r="F155" s="871"/>
      <c r="G155" s="871"/>
      <c r="H155" s="871"/>
      <c r="I155" s="871"/>
      <c r="J155" s="871"/>
    </row>
  </sheetData>
  <sheetProtection password="C236" sheet="1" objects="1" formatColumns="0" selectLockedCells="1"/>
  <mergeCells count="395">
    <mergeCell ref="A128:A130"/>
    <mergeCell ref="B10:E12"/>
    <mergeCell ref="F10:G12"/>
    <mergeCell ref="B48:C50"/>
    <mergeCell ref="D48:E50"/>
    <mergeCell ref="B76:K78"/>
    <mergeCell ref="F91:G93"/>
    <mergeCell ref="B91:E93"/>
    <mergeCell ref="B128:C130"/>
    <mergeCell ref="D128:E130"/>
    <mergeCell ref="B150:K150"/>
    <mergeCell ref="B151:K151"/>
    <mergeCell ref="B152:K152"/>
    <mergeCell ref="A153:K153"/>
    <mergeCell ref="A155:J155"/>
    <mergeCell ref="A10:A12"/>
    <mergeCell ref="A48:A50"/>
    <mergeCell ref="A76:A78"/>
    <mergeCell ref="A84:A85"/>
    <mergeCell ref="A91:A93"/>
    <mergeCell ref="B145:C145"/>
    <mergeCell ref="D145:E145"/>
    <mergeCell ref="B146:C146"/>
    <mergeCell ref="D146:E146"/>
    <mergeCell ref="B148:C148"/>
    <mergeCell ref="D148:E148"/>
    <mergeCell ref="B142:C142"/>
    <mergeCell ref="D142:E142"/>
    <mergeCell ref="B143:C143"/>
    <mergeCell ref="D143:E143"/>
    <mergeCell ref="B144:C144"/>
    <mergeCell ref="D144:E144"/>
    <mergeCell ref="B139:C139"/>
    <mergeCell ref="D139:E139"/>
    <mergeCell ref="B140:C140"/>
    <mergeCell ref="D140:E140"/>
    <mergeCell ref="B141:C141"/>
    <mergeCell ref="D141:E141"/>
    <mergeCell ref="B136:C136"/>
    <mergeCell ref="D136:E136"/>
    <mergeCell ref="B137:C137"/>
    <mergeCell ref="D137:E137"/>
    <mergeCell ref="B138:C138"/>
    <mergeCell ref="D138:E138"/>
    <mergeCell ref="B133:C133"/>
    <mergeCell ref="D133:E133"/>
    <mergeCell ref="B134:C134"/>
    <mergeCell ref="D134:E134"/>
    <mergeCell ref="B135:C135"/>
    <mergeCell ref="D135:E135"/>
    <mergeCell ref="F128:G128"/>
    <mergeCell ref="H128:I128"/>
    <mergeCell ref="J128:K128"/>
    <mergeCell ref="B131:C131"/>
    <mergeCell ref="D131:E131"/>
    <mergeCell ref="B132:C132"/>
    <mergeCell ref="D132:E132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97:E97"/>
    <mergeCell ref="F97:G97"/>
    <mergeCell ref="H97:I97"/>
    <mergeCell ref="J97:K97"/>
    <mergeCell ref="B98:E98"/>
    <mergeCell ref="F98:G98"/>
    <mergeCell ref="H98:I98"/>
    <mergeCell ref="J98:K98"/>
    <mergeCell ref="B95:E95"/>
    <mergeCell ref="F95:G95"/>
    <mergeCell ref="H95:I95"/>
    <mergeCell ref="J95:K95"/>
    <mergeCell ref="B96:E96"/>
    <mergeCell ref="F96:G96"/>
    <mergeCell ref="H96:I96"/>
    <mergeCell ref="J96:K96"/>
    <mergeCell ref="H93:I93"/>
    <mergeCell ref="J93:K93"/>
    <mergeCell ref="B94:E94"/>
    <mergeCell ref="F94:G94"/>
    <mergeCell ref="H94:I94"/>
    <mergeCell ref="J94:K94"/>
    <mergeCell ref="B88:G88"/>
    <mergeCell ref="H88:K88"/>
    <mergeCell ref="A90:K90"/>
    <mergeCell ref="H91:K91"/>
    <mergeCell ref="H92:I92"/>
    <mergeCell ref="J92:K92"/>
    <mergeCell ref="B84:K84"/>
    <mergeCell ref="B85:G85"/>
    <mergeCell ref="H85:K85"/>
    <mergeCell ref="B86:G86"/>
    <mergeCell ref="H86:K86"/>
    <mergeCell ref="B87:G87"/>
    <mergeCell ref="H87:K87"/>
    <mergeCell ref="B73:K73"/>
    <mergeCell ref="B74:K74"/>
    <mergeCell ref="B79:K79"/>
    <mergeCell ref="B80:K80"/>
    <mergeCell ref="B81:K81"/>
    <mergeCell ref="B82:K82"/>
    <mergeCell ref="B66:C66"/>
    <mergeCell ref="D66:E66"/>
    <mergeCell ref="B68:C68"/>
    <mergeCell ref="D68:E68"/>
    <mergeCell ref="B70:K70"/>
    <mergeCell ref="B71:K71"/>
    <mergeCell ref="B63:C63"/>
    <mergeCell ref="D63:E63"/>
    <mergeCell ref="B64:C64"/>
    <mergeCell ref="D64:E64"/>
    <mergeCell ref="B65:C65"/>
    <mergeCell ref="D65:E65"/>
    <mergeCell ref="B60:C60"/>
    <mergeCell ref="D60:E60"/>
    <mergeCell ref="B61:C61"/>
    <mergeCell ref="D61:E61"/>
    <mergeCell ref="B62:C62"/>
    <mergeCell ref="D62:E62"/>
    <mergeCell ref="B57:C57"/>
    <mergeCell ref="D57:E57"/>
    <mergeCell ref="B58:C58"/>
    <mergeCell ref="D58:E58"/>
    <mergeCell ref="B59:C59"/>
    <mergeCell ref="D59:E59"/>
    <mergeCell ref="B54:C54"/>
    <mergeCell ref="D54:E54"/>
    <mergeCell ref="B55:C55"/>
    <mergeCell ref="D55:E55"/>
    <mergeCell ref="B56:C56"/>
    <mergeCell ref="D56:E56"/>
    <mergeCell ref="B51:C51"/>
    <mergeCell ref="D51:E51"/>
    <mergeCell ref="B52:C52"/>
    <mergeCell ref="D52:E52"/>
    <mergeCell ref="B53:C53"/>
    <mergeCell ref="D53:E53"/>
    <mergeCell ref="B46:E46"/>
    <mergeCell ref="F46:G46"/>
    <mergeCell ref="H46:I46"/>
    <mergeCell ref="J46:K46"/>
    <mergeCell ref="F48:G48"/>
    <mergeCell ref="H48:I48"/>
    <mergeCell ref="J48:K48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H11:I11"/>
    <mergeCell ref="J11:K11"/>
    <mergeCell ref="H12:I12"/>
    <mergeCell ref="J12:K12"/>
    <mergeCell ref="B13:E13"/>
    <mergeCell ref="F13:G13"/>
    <mergeCell ref="H13:I13"/>
    <mergeCell ref="J13:K13"/>
    <mergeCell ref="A3:F3"/>
    <mergeCell ref="A4:F4"/>
    <mergeCell ref="A5:F5"/>
    <mergeCell ref="A6:F6"/>
    <mergeCell ref="A7:F7"/>
    <mergeCell ref="H10:K10"/>
  </mergeCells>
  <printOptions horizontalCentered="1"/>
  <pageMargins left="0.2" right="0.2" top="1.18" bottom="0.39" header="0" footer="0.2"/>
  <pageSetup horizontalDpi="600" verticalDpi="600" orientation="landscape" paperSize="9" scale="80"/>
  <rowBreaks count="2" manualBreakCount="2">
    <brk id="47" max="255" man="1"/>
    <brk id="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130" zoomScaleNormal="130" zoomScalePageLayoutView="0" workbookViewId="0" topLeftCell="A16">
      <selection activeCell="E31" sqref="E31:G31"/>
    </sheetView>
  </sheetViews>
  <sheetFormatPr defaultColWidth="9.140625" defaultRowHeight="11.25" customHeight="1"/>
  <cols>
    <col min="1" max="1" width="59.57421875" style="539" customWidth="1"/>
    <col min="2" max="7" width="12.7109375" style="539" customWidth="1"/>
    <col min="8" max="16384" width="9.140625" style="539" customWidth="1"/>
  </cols>
  <sheetData>
    <row r="1" spans="1:5" ht="15.75">
      <c r="A1" s="314" t="s">
        <v>462</v>
      </c>
      <c r="D1" s="536"/>
      <c r="E1" s="536"/>
    </row>
    <row r="2" spans="4:5" ht="12.75">
      <c r="D2" s="536"/>
      <c r="E2" s="536"/>
    </row>
    <row r="3" spans="1:7" ht="12.75">
      <c r="A3" s="869" t="str">
        <f>+'Informações Iniciais'!A1:B1</f>
        <v>ESTADO DO MARANHÃO - PREFEITURA MUNICIPAL DE DAVINOPOLIS</v>
      </c>
      <c r="B3" s="869"/>
      <c r="C3" s="869"/>
      <c r="D3" s="869"/>
      <c r="E3" s="869"/>
      <c r="F3" s="869"/>
      <c r="G3" s="869"/>
    </row>
    <row r="4" spans="1:7" ht="12.75">
      <c r="A4" s="869" t="s">
        <v>1</v>
      </c>
      <c r="B4" s="869"/>
      <c r="C4" s="869"/>
      <c r="D4" s="869"/>
      <c r="E4" s="869"/>
      <c r="F4" s="869"/>
      <c r="G4" s="869"/>
    </row>
    <row r="5" spans="1:7" ht="12.75">
      <c r="A5" s="868" t="s">
        <v>463</v>
      </c>
      <c r="B5" s="868"/>
      <c r="C5" s="868"/>
      <c r="D5" s="868"/>
      <c r="E5" s="868"/>
      <c r="F5" s="868"/>
      <c r="G5" s="868"/>
    </row>
    <row r="6" spans="1:7" ht="12.75">
      <c r="A6" s="869" t="s">
        <v>30</v>
      </c>
      <c r="B6" s="869"/>
      <c r="C6" s="869"/>
      <c r="D6" s="869"/>
      <c r="E6" s="869"/>
      <c r="F6" s="869"/>
      <c r="G6" s="869"/>
    </row>
    <row r="7" spans="1:7" ht="12.75">
      <c r="A7" s="869" t="str">
        <f>+'Informações Iniciais'!A5:B5</f>
        <v>1º Bimestre de 2017</v>
      </c>
      <c r="B7" s="869"/>
      <c r="C7" s="869"/>
      <c r="D7" s="869"/>
      <c r="E7" s="869"/>
      <c r="F7" s="869"/>
      <c r="G7" s="869"/>
    </row>
    <row r="8" spans="1:7" ht="12.75">
      <c r="A8" s="540"/>
      <c r="B8" s="540"/>
      <c r="C8" s="540"/>
      <c r="D8" s="540"/>
      <c r="E8" s="540"/>
      <c r="F8" s="540"/>
      <c r="G8" s="540"/>
    </row>
    <row r="9" spans="1:7" ht="12.75">
      <c r="A9" s="539" t="s">
        <v>464</v>
      </c>
      <c r="D9" s="541"/>
      <c r="E9" s="536"/>
      <c r="G9" s="496" t="s">
        <v>32</v>
      </c>
    </row>
    <row r="10" spans="1:7" ht="12.75">
      <c r="A10" s="542"/>
      <c r="B10" s="543"/>
      <c r="C10" s="544"/>
      <c r="D10" s="1006" t="s">
        <v>37</v>
      </c>
      <c r="E10" s="1006"/>
      <c r="F10" s="544"/>
      <c r="G10" s="545"/>
    </row>
    <row r="11" spans="1:7" ht="12.75">
      <c r="A11" s="546" t="s">
        <v>465</v>
      </c>
      <c r="B11" s="1007" t="s">
        <v>1026</v>
      </c>
      <c r="C11" s="1008"/>
      <c r="D11" s="1009" t="s">
        <v>1027</v>
      </c>
      <c r="E11" s="1010"/>
      <c r="F11" s="1011" t="s">
        <v>1028</v>
      </c>
      <c r="G11" s="1010"/>
    </row>
    <row r="12" spans="1:7" ht="12.75">
      <c r="A12" s="547"/>
      <c r="B12" s="1012" t="s">
        <v>41</v>
      </c>
      <c r="C12" s="1013"/>
      <c r="D12" s="1014" t="s">
        <v>42</v>
      </c>
      <c r="E12" s="1015"/>
      <c r="F12" s="1016" t="s">
        <v>44</v>
      </c>
      <c r="G12" s="1015"/>
    </row>
    <row r="13" spans="1:7" ht="12.75">
      <c r="A13" s="485" t="s">
        <v>466</v>
      </c>
      <c r="B13" s="804"/>
      <c r="C13" s="805"/>
      <c r="D13" s="804"/>
      <c r="E13" s="805"/>
      <c r="F13" s="804"/>
      <c r="G13" s="805"/>
    </row>
    <row r="14" spans="1:7" ht="12.75">
      <c r="A14" s="485" t="s">
        <v>359</v>
      </c>
      <c r="B14" s="972">
        <f>+B15+B18</f>
        <v>11999526.46</v>
      </c>
      <c r="C14" s="973"/>
      <c r="D14" s="972">
        <f>+D15+D18</f>
        <v>14434364.45</v>
      </c>
      <c r="E14" s="973"/>
      <c r="F14" s="972">
        <f>+F15+F18</f>
        <v>14434364.45</v>
      </c>
      <c r="G14" s="973"/>
    </row>
    <row r="15" spans="1:7" ht="12.75">
      <c r="A15" s="502" t="s">
        <v>467</v>
      </c>
      <c r="B15" s="972">
        <f>IF(ABS(B17)&gt;B16,0,B16-ABS(B17))</f>
        <v>0</v>
      </c>
      <c r="C15" s="973"/>
      <c r="D15" s="972">
        <f>IF(ABS(D17)&gt;D16,0,D16-ABS(D17))</f>
        <v>0</v>
      </c>
      <c r="E15" s="973"/>
      <c r="F15" s="972">
        <f>IF(ABS(F17)&gt;F16,0,F16-ABS(F17))</f>
        <v>0</v>
      </c>
      <c r="G15" s="973"/>
    </row>
    <row r="16" spans="1:7" ht="12.75">
      <c r="A16" s="502" t="s">
        <v>468</v>
      </c>
      <c r="B16" s="804"/>
      <c r="C16" s="805"/>
      <c r="D16" s="804"/>
      <c r="E16" s="805"/>
      <c r="F16" s="804"/>
      <c r="G16" s="805"/>
    </row>
    <row r="17" spans="1:7" ht="12.75">
      <c r="A17" s="502" t="s">
        <v>469</v>
      </c>
      <c r="B17" s="804">
        <v>543156.38</v>
      </c>
      <c r="C17" s="805"/>
      <c r="D17" s="804">
        <v>131952.77</v>
      </c>
      <c r="E17" s="805"/>
      <c r="F17" s="804">
        <v>131952.77</v>
      </c>
      <c r="G17" s="805"/>
    </row>
    <row r="18" spans="1:7" ht="12.75">
      <c r="A18" s="502" t="s">
        <v>470</v>
      </c>
      <c r="B18" s="804">
        <v>11999526.46</v>
      </c>
      <c r="C18" s="805"/>
      <c r="D18" s="804">
        <v>14434364.45</v>
      </c>
      <c r="E18" s="805"/>
      <c r="F18" s="804">
        <v>14434364.45</v>
      </c>
      <c r="G18" s="805"/>
    </row>
    <row r="19" spans="1:7" ht="12.75">
      <c r="A19" s="485" t="s">
        <v>471</v>
      </c>
      <c r="B19" s="972">
        <f>IF(ABS(B14)&gt;B13,0,B13-ABS(B14))</f>
        <v>0</v>
      </c>
      <c r="C19" s="973"/>
      <c r="D19" s="972">
        <f>IF(ABS(D14)&gt;D13,0,D13-ABS(D14))</f>
        <v>0</v>
      </c>
      <c r="E19" s="973"/>
      <c r="F19" s="972">
        <f>IF(ABS(F14)&gt;F13,0,F13-ABS(F14))</f>
        <v>0</v>
      </c>
      <c r="G19" s="973"/>
    </row>
    <row r="20" spans="1:7" ht="12.75">
      <c r="A20" s="485" t="s">
        <v>472</v>
      </c>
      <c r="B20" s="804"/>
      <c r="C20" s="805"/>
      <c r="D20" s="804"/>
      <c r="E20" s="805"/>
      <c r="F20" s="804"/>
      <c r="G20" s="805"/>
    </row>
    <row r="21" spans="1:7" ht="12.75">
      <c r="A21" s="485" t="s">
        <v>473</v>
      </c>
      <c r="B21" s="804"/>
      <c r="C21" s="805"/>
      <c r="D21" s="804"/>
      <c r="E21" s="805"/>
      <c r="F21" s="804"/>
      <c r="G21" s="805"/>
    </row>
    <row r="22" spans="1:7" ht="12.75">
      <c r="A22" s="548" t="s">
        <v>474</v>
      </c>
      <c r="B22" s="810">
        <f>B19+B20-B21</f>
        <v>0</v>
      </c>
      <c r="C22" s="811"/>
      <c r="D22" s="810">
        <f>D19+D20-D21</f>
        <v>0</v>
      </c>
      <c r="E22" s="811"/>
      <c r="F22" s="810">
        <f>F19+F20-F21</f>
        <v>0</v>
      </c>
      <c r="G22" s="811"/>
    </row>
    <row r="23" spans="1:7" ht="12.75">
      <c r="A23" s="481"/>
      <c r="B23" s="1030">
        <f>IF(B17&lt;0,SUM(B15:C18),+B15+B18-B17)</f>
        <v>11456370.08</v>
      </c>
      <c r="C23" s="1030"/>
      <c r="D23" s="1030">
        <f>IF(D17&lt;0,SUM(D15:E18),+D15+D18-D17)</f>
        <v>14302411.68</v>
      </c>
      <c r="E23" s="1030"/>
      <c r="F23" s="1030">
        <f>IF(F17&lt;0,SUM(F15:G18),+F15+F18-F17)</f>
        <v>14302411.68</v>
      </c>
      <c r="G23" s="1030"/>
    </row>
    <row r="24" spans="1:7" ht="12.75">
      <c r="A24" s="789" t="s">
        <v>475</v>
      </c>
      <c r="B24" s="550"/>
      <c r="C24" s="551"/>
      <c r="D24" s="1031" t="s">
        <v>420</v>
      </c>
      <c r="E24" s="1031"/>
      <c r="F24" s="551"/>
      <c r="G24" s="552"/>
    </row>
    <row r="25" spans="1:7" ht="12.75">
      <c r="A25" s="790"/>
      <c r="B25" s="316"/>
      <c r="C25" s="553" t="s">
        <v>38</v>
      </c>
      <c r="D25" s="317"/>
      <c r="E25" s="316"/>
      <c r="F25" s="553" t="s">
        <v>40</v>
      </c>
      <c r="G25" s="317"/>
    </row>
    <row r="26" spans="1:7" ht="12.75">
      <c r="A26" s="791"/>
      <c r="B26" s="554"/>
      <c r="C26" s="555" t="s">
        <v>476</v>
      </c>
      <c r="D26" s="556"/>
      <c r="E26" s="554"/>
      <c r="F26" s="555" t="s">
        <v>477</v>
      </c>
      <c r="G26" s="556"/>
    </row>
    <row r="27" spans="1:7" ht="12.75">
      <c r="A27" s="526" t="s">
        <v>411</v>
      </c>
      <c r="B27" s="1017">
        <f>F22-D22</f>
        <v>0</v>
      </c>
      <c r="C27" s="1018"/>
      <c r="D27" s="1019"/>
      <c r="E27" s="1017">
        <f>F22-B22</f>
        <v>0</v>
      </c>
      <c r="F27" s="1018"/>
      <c r="G27" s="1019"/>
    </row>
    <row r="28" spans="1:7" ht="12.75">
      <c r="A28" s="485"/>
      <c r="B28" s="495"/>
      <c r="C28" s="495"/>
      <c r="D28" s="495"/>
      <c r="E28" s="495"/>
      <c r="F28" s="495"/>
      <c r="G28" s="557"/>
    </row>
    <row r="29" spans="1:7" ht="12.75">
      <c r="A29" s="1024" t="s">
        <v>478</v>
      </c>
      <c r="B29" s="1024"/>
      <c r="C29" s="1024"/>
      <c r="D29" s="1024"/>
      <c r="E29" s="1026" t="s">
        <v>479</v>
      </c>
      <c r="F29" s="1027"/>
      <c r="G29" s="1028"/>
    </row>
    <row r="30" spans="1:7" ht="12.75">
      <c r="A30" s="1025"/>
      <c r="B30" s="1025"/>
      <c r="C30" s="1025"/>
      <c r="D30" s="1025"/>
      <c r="E30" s="1012"/>
      <c r="F30" s="1029"/>
      <c r="G30" s="1013"/>
    </row>
    <row r="31" spans="1:7" ht="12.75">
      <c r="A31" s="526" t="s">
        <v>480</v>
      </c>
      <c r="B31" s="558"/>
      <c r="C31" s="558"/>
      <c r="D31" s="558"/>
      <c r="E31" s="1020"/>
      <c r="F31" s="1021"/>
      <c r="G31" s="1022"/>
    </row>
    <row r="32" spans="1:9" ht="12.75" customHeight="1">
      <c r="A32" s="1023" t="s">
        <v>155</v>
      </c>
      <c r="B32" s="1023"/>
      <c r="C32" s="1023"/>
      <c r="D32" s="1023"/>
      <c r="E32" s="1023"/>
      <c r="F32" s="1023"/>
      <c r="G32" s="1023"/>
      <c r="H32" s="559"/>
      <c r="I32" s="559"/>
    </row>
  </sheetData>
  <sheetProtection password="C236" sheet="1" objects="1" formatColumns="0" selectLockedCells="1"/>
  <mergeCells count="53">
    <mergeCell ref="E31:G31"/>
    <mergeCell ref="A32:G32"/>
    <mergeCell ref="A24:A26"/>
    <mergeCell ref="A29:D30"/>
    <mergeCell ref="E29:G30"/>
    <mergeCell ref="B23:C23"/>
    <mergeCell ref="D23:E23"/>
    <mergeCell ref="F23:G23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" right="0.2" top="0.59" bottom="0.39" header="0.12" footer="0.12"/>
  <pageSetup fitToHeight="1" fitToWidth="1" horizontalDpi="600" verticalDpi="600" orientation="landscape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A68"/>
  <sheetViews>
    <sheetView showGridLines="0" zoomScale="115" zoomScaleNormal="115" zoomScalePageLayoutView="0" workbookViewId="0" topLeftCell="A37">
      <selection activeCell="E64" sqref="E64:H64"/>
    </sheetView>
  </sheetViews>
  <sheetFormatPr defaultColWidth="16.7109375" defaultRowHeight="11.25" customHeight="1"/>
  <cols>
    <col min="1" max="1" width="55.00390625" style="499" customWidth="1"/>
    <col min="2" max="2" width="14.28125" style="499" customWidth="1"/>
    <col min="3" max="3" width="14.28125" style="498" customWidth="1"/>
    <col min="4" max="6" width="14.28125" style="499" customWidth="1"/>
    <col min="7" max="8" width="13.57421875" style="499" customWidth="1"/>
    <col min="9" max="254" width="7.8515625" style="499" customWidth="1"/>
    <col min="255" max="255" width="55.00390625" style="499" customWidth="1"/>
    <col min="256" max="16384" width="16.7109375" style="499" customWidth="1"/>
  </cols>
  <sheetData>
    <row r="1" ht="11.25" customHeight="1">
      <c r="A1" s="500" t="s">
        <v>481</v>
      </c>
    </row>
    <row r="2" spans="1:4" ht="11.25" customHeight="1">
      <c r="A2" s="501"/>
      <c r="B2" s="501"/>
      <c r="C2" s="502"/>
      <c r="D2" s="501"/>
    </row>
    <row r="3" spans="1:4" ht="12.75" customHeight="1">
      <c r="A3" s="869" t="str">
        <f>+'Informações Iniciais'!A1:B1</f>
        <v>ESTADO DO MARANHÃO - PREFEITURA MUNICIPAL DE DAVINOPOLIS</v>
      </c>
      <c r="B3" s="869"/>
      <c r="C3" s="869"/>
      <c r="D3" s="869"/>
    </row>
    <row r="4" spans="1:4" ht="12.75" customHeight="1">
      <c r="A4" s="869" t="s">
        <v>1</v>
      </c>
      <c r="B4" s="869"/>
      <c r="C4" s="869"/>
      <c r="D4" s="869"/>
    </row>
    <row r="5" spans="1:4" ht="12.75" customHeight="1">
      <c r="A5" s="868" t="s">
        <v>482</v>
      </c>
      <c r="B5" s="868"/>
      <c r="C5" s="868"/>
      <c r="D5" s="868"/>
    </row>
    <row r="6" spans="1:4" ht="12.75" customHeight="1">
      <c r="A6" s="869" t="s">
        <v>30</v>
      </c>
      <c r="B6" s="869"/>
      <c r="C6" s="869"/>
      <c r="D6" s="869"/>
    </row>
    <row r="7" spans="1:4" ht="12.75" customHeight="1">
      <c r="A7" s="869" t="str">
        <f>+'Informações Iniciais'!A5:B5</f>
        <v>1º Bimestre de 2017</v>
      </c>
      <c r="B7" s="869"/>
      <c r="C7" s="869"/>
      <c r="D7" s="869"/>
    </row>
    <row r="8" spans="1:4" ht="11.25" customHeight="1">
      <c r="A8" s="481"/>
      <c r="B8" s="481"/>
      <c r="C8" s="481"/>
      <c r="D8" s="481"/>
    </row>
    <row r="9" spans="1:8" ht="11.25" customHeight="1">
      <c r="A9" s="503" t="s">
        <v>483</v>
      </c>
      <c r="B9" s="504"/>
      <c r="C9" s="505"/>
      <c r="D9" s="504"/>
      <c r="E9" s="504"/>
      <c r="F9" s="504"/>
      <c r="G9" s="504"/>
      <c r="H9" s="496" t="s">
        <v>484</v>
      </c>
    </row>
    <row r="10" spans="1:8" ht="11.25" customHeight="1">
      <c r="A10" s="506"/>
      <c r="B10" s="884" t="s">
        <v>35</v>
      </c>
      <c r="C10" s="886"/>
      <c r="D10" s="900" t="s">
        <v>36</v>
      </c>
      <c r="E10" s="901"/>
      <c r="F10" s="901"/>
      <c r="G10" s="901"/>
      <c r="H10" s="902"/>
    </row>
    <row r="11" spans="1:9" ht="11.25" customHeight="1">
      <c r="A11" s="508" t="s">
        <v>485</v>
      </c>
      <c r="B11" s="990"/>
      <c r="C11" s="887"/>
      <c r="D11" s="884" t="s">
        <v>369</v>
      </c>
      <c r="E11" s="886"/>
      <c r="F11" s="885" t="s">
        <v>369</v>
      </c>
      <c r="G11" s="885"/>
      <c r="H11" s="886"/>
      <c r="I11" s="502"/>
    </row>
    <row r="12" spans="1:157" ht="11.25" customHeight="1">
      <c r="A12" s="509"/>
      <c r="B12" s="897"/>
      <c r="C12" s="888"/>
      <c r="D12" s="905" t="str">
        <f>IF(A7="&lt;SELECIONE O PERÍODO CLICANDO NA SETA AO LADO&gt;","&lt;Exercício&gt;",RIGHT(A7,4))</f>
        <v>2017</v>
      </c>
      <c r="E12" s="906"/>
      <c r="F12" s="1032">
        <f>IF(FA12=FALSE,"&lt;Exercício Anterior&gt;",D12-1)</f>
        <v>2016</v>
      </c>
      <c r="G12" s="1032"/>
      <c r="H12" s="1033"/>
      <c r="I12" s="502"/>
      <c r="FA12" s="501" t="b">
        <f>ISNUMBER(D12*1)</f>
        <v>1</v>
      </c>
    </row>
    <row r="13" spans="1:9" ht="11.25" customHeight="1">
      <c r="A13" s="495" t="s">
        <v>486</v>
      </c>
      <c r="B13" s="972">
        <f>B14+B15+B18+B21+B24</f>
        <v>41477832.019999996</v>
      </c>
      <c r="C13" s="973"/>
      <c r="D13" s="972">
        <f>D14+D15+D18+D21+D24</f>
        <v>4689443.38</v>
      </c>
      <c r="E13" s="973"/>
      <c r="F13" s="970">
        <f>F14+F15+F18+F21+F24</f>
        <v>5556191.79</v>
      </c>
      <c r="G13" s="1034"/>
      <c r="H13" s="971"/>
      <c r="I13" s="536"/>
    </row>
    <row r="14" spans="1:9" ht="11.25" customHeight="1">
      <c r="A14" s="495" t="s">
        <v>487</v>
      </c>
      <c r="B14" s="1035">
        <v>515074.07</v>
      </c>
      <c r="C14" s="1036"/>
      <c r="D14" s="1035">
        <v>152786.92</v>
      </c>
      <c r="E14" s="1036"/>
      <c r="F14" s="1035">
        <v>137870.99</v>
      </c>
      <c r="G14" s="1037"/>
      <c r="H14" s="1036"/>
      <c r="I14" s="536"/>
    </row>
    <row r="15" spans="1:9" ht="11.25" customHeight="1">
      <c r="A15" s="495" t="s">
        <v>488</v>
      </c>
      <c r="B15" s="972">
        <f>SUM(B16:C17)</f>
        <v>211110.68</v>
      </c>
      <c r="C15" s="973"/>
      <c r="D15" s="972">
        <f>SUM(D16:E17)</f>
        <v>0</v>
      </c>
      <c r="E15" s="973"/>
      <c r="F15" s="972">
        <f>SUM(F16:G17)</f>
        <v>0</v>
      </c>
      <c r="G15" s="1038"/>
      <c r="H15" s="973"/>
      <c r="I15" s="536"/>
    </row>
    <row r="16" spans="1:9" ht="11.25" customHeight="1">
      <c r="A16" s="495" t="s">
        <v>489</v>
      </c>
      <c r="B16" s="1035">
        <v>78860.68</v>
      </c>
      <c r="C16" s="1036"/>
      <c r="D16" s="1035"/>
      <c r="E16" s="1036"/>
      <c r="F16" s="1035"/>
      <c r="G16" s="1037"/>
      <c r="H16" s="1036"/>
      <c r="I16" s="536"/>
    </row>
    <row r="17" spans="1:9" ht="11.25" customHeight="1">
      <c r="A17" s="495" t="s">
        <v>490</v>
      </c>
      <c r="B17" s="1035">
        <v>132250</v>
      </c>
      <c r="C17" s="1036"/>
      <c r="D17" s="1035"/>
      <c r="E17" s="1036"/>
      <c r="F17" s="1035"/>
      <c r="G17" s="1037"/>
      <c r="H17" s="1036"/>
      <c r="I17" s="536"/>
    </row>
    <row r="18" spans="1:157" ht="11.25" customHeight="1">
      <c r="A18" s="495" t="s">
        <v>491</v>
      </c>
      <c r="B18" s="972">
        <f>B19-ABS(B20)</f>
        <v>60372.119999999995</v>
      </c>
      <c r="C18" s="973"/>
      <c r="D18" s="972">
        <f>D19-ABS(D20)</f>
        <v>10108.12</v>
      </c>
      <c r="E18" s="973"/>
      <c r="F18" s="972">
        <f>F19-ABS(F20)</f>
        <v>26166.89</v>
      </c>
      <c r="G18" s="1038"/>
      <c r="H18" s="973"/>
      <c r="I18" s="536"/>
      <c r="FA18" s="538"/>
    </row>
    <row r="19" spans="1:9" ht="11.25" customHeight="1">
      <c r="A19" s="495" t="s">
        <v>381</v>
      </c>
      <c r="B19" s="1035">
        <v>100450.48</v>
      </c>
      <c r="C19" s="1036"/>
      <c r="D19" s="1035">
        <v>10108.12</v>
      </c>
      <c r="E19" s="1036"/>
      <c r="F19" s="1035">
        <v>26166.89</v>
      </c>
      <c r="G19" s="1037"/>
      <c r="H19" s="1036"/>
      <c r="I19" s="536"/>
    </row>
    <row r="20" spans="1:9" ht="11.25" customHeight="1">
      <c r="A20" s="495" t="s">
        <v>492</v>
      </c>
      <c r="B20" s="1035">
        <v>40078.36</v>
      </c>
      <c r="C20" s="1036"/>
      <c r="D20" s="1035"/>
      <c r="E20" s="1036"/>
      <c r="F20" s="1035"/>
      <c r="G20" s="1037"/>
      <c r="H20" s="1036"/>
      <c r="I20" s="536"/>
    </row>
    <row r="21" spans="1:9" ht="11.25" customHeight="1">
      <c r="A21" s="495" t="s">
        <v>349</v>
      </c>
      <c r="B21" s="972">
        <f>SUM(B22:C23)</f>
        <v>40681693.64</v>
      </c>
      <c r="C21" s="973"/>
      <c r="D21" s="972">
        <f>SUM(D22:E23)</f>
        <v>4526548.34</v>
      </c>
      <c r="E21" s="973"/>
      <c r="F21" s="972">
        <f>SUM(F22:G23)</f>
        <v>5392153.91</v>
      </c>
      <c r="G21" s="1038"/>
      <c r="H21" s="973"/>
      <c r="I21" s="536"/>
    </row>
    <row r="22" spans="1:9" ht="11.25" customHeight="1">
      <c r="A22" s="495" t="s">
        <v>493</v>
      </c>
      <c r="B22" s="1035"/>
      <c r="C22" s="1036"/>
      <c r="D22" s="1035"/>
      <c r="E22" s="1036"/>
      <c r="F22" s="1035"/>
      <c r="G22" s="1037"/>
      <c r="H22" s="1036"/>
      <c r="I22" s="536"/>
    </row>
    <row r="23" spans="1:9" ht="11.25" customHeight="1">
      <c r="A23" s="495" t="s">
        <v>494</v>
      </c>
      <c r="B23" s="1035">
        <v>40681693.64</v>
      </c>
      <c r="C23" s="1036"/>
      <c r="D23" s="1035">
        <v>4526548.34</v>
      </c>
      <c r="E23" s="1036"/>
      <c r="F23" s="1035">
        <v>5392153.91</v>
      </c>
      <c r="G23" s="1037"/>
      <c r="H23" s="1036"/>
      <c r="I23" s="536"/>
    </row>
    <row r="24" spans="1:9" ht="11.25" customHeight="1">
      <c r="A24" s="495" t="s">
        <v>495</v>
      </c>
      <c r="B24" s="972">
        <f>SUM(B25:C26)</f>
        <v>9581.51</v>
      </c>
      <c r="C24" s="973"/>
      <c r="D24" s="972">
        <f>SUM(D25:E26)</f>
        <v>0</v>
      </c>
      <c r="E24" s="973"/>
      <c r="F24" s="972">
        <f>SUM(F25:G26)</f>
        <v>0</v>
      </c>
      <c r="G24" s="1038"/>
      <c r="H24" s="973"/>
      <c r="I24" s="536"/>
    </row>
    <row r="25" spans="1:9" ht="11.25" customHeight="1">
      <c r="A25" s="495" t="s">
        <v>496</v>
      </c>
      <c r="B25" s="1035">
        <v>9581.51</v>
      </c>
      <c r="C25" s="1036"/>
      <c r="D25" s="1035"/>
      <c r="E25" s="1036"/>
      <c r="F25" s="1035"/>
      <c r="G25" s="1037"/>
      <c r="H25" s="1036"/>
      <c r="I25" s="536"/>
    </row>
    <row r="26" spans="1:9" ht="11.25" customHeight="1">
      <c r="A26" s="495" t="s">
        <v>497</v>
      </c>
      <c r="B26" s="1035"/>
      <c r="C26" s="1036"/>
      <c r="D26" s="1035"/>
      <c r="E26" s="1036"/>
      <c r="F26" s="1035"/>
      <c r="G26" s="1037"/>
      <c r="H26" s="1036"/>
      <c r="I26" s="536"/>
    </row>
    <row r="27" spans="1:9" ht="11.25" customHeight="1">
      <c r="A27" s="495" t="s">
        <v>498</v>
      </c>
      <c r="B27" s="972">
        <f>SUM(B28:C31,B34)</f>
        <v>1870901.0699999998</v>
      </c>
      <c r="C27" s="973"/>
      <c r="D27" s="972">
        <f>SUM(D28:E31,D34)</f>
        <v>0</v>
      </c>
      <c r="E27" s="973"/>
      <c r="F27" s="972">
        <f>SUM(F28:G31,F34)</f>
        <v>0</v>
      </c>
      <c r="G27" s="1038"/>
      <c r="H27" s="973"/>
      <c r="I27" s="536"/>
    </row>
    <row r="28" spans="1:9" ht="11.25" customHeight="1">
      <c r="A28" s="495" t="s">
        <v>499</v>
      </c>
      <c r="B28" s="1035"/>
      <c r="C28" s="1036"/>
      <c r="D28" s="1035"/>
      <c r="E28" s="1036"/>
      <c r="F28" s="1035"/>
      <c r="G28" s="1037"/>
      <c r="H28" s="1036"/>
      <c r="I28" s="536"/>
    </row>
    <row r="29" spans="1:9" ht="11.25" customHeight="1">
      <c r="A29" s="495" t="s">
        <v>500</v>
      </c>
      <c r="B29" s="1035"/>
      <c r="C29" s="1036"/>
      <c r="D29" s="1035"/>
      <c r="E29" s="1036"/>
      <c r="F29" s="1035"/>
      <c r="G29" s="1037"/>
      <c r="H29" s="1036"/>
      <c r="I29" s="536"/>
    </row>
    <row r="30" spans="1:9" s="504" customFormat="1" ht="11.25" customHeight="1">
      <c r="A30" s="495" t="s">
        <v>501</v>
      </c>
      <c r="B30" s="1035"/>
      <c r="C30" s="1036"/>
      <c r="D30" s="1035"/>
      <c r="E30" s="1036"/>
      <c r="F30" s="1035"/>
      <c r="G30" s="1037"/>
      <c r="H30" s="1036"/>
      <c r="I30" s="536"/>
    </row>
    <row r="31" spans="1:9" ht="11.25" customHeight="1">
      <c r="A31" s="495" t="s">
        <v>502</v>
      </c>
      <c r="B31" s="972">
        <f>SUM(B32:C33)</f>
        <v>1870901.0699999998</v>
      </c>
      <c r="C31" s="973"/>
      <c r="D31" s="972">
        <f>SUM(D32:E33)</f>
        <v>0</v>
      </c>
      <c r="E31" s="973"/>
      <c r="F31" s="972">
        <f>SUM(F32:G33)</f>
        <v>0</v>
      </c>
      <c r="G31" s="1038"/>
      <c r="H31" s="973"/>
      <c r="I31" s="536"/>
    </row>
    <row r="32" spans="1:9" ht="11.25" customHeight="1">
      <c r="A32" s="495" t="s">
        <v>493</v>
      </c>
      <c r="B32" s="1035">
        <v>1394867.2</v>
      </c>
      <c r="C32" s="1036"/>
      <c r="D32" s="1035"/>
      <c r="E32" s="1036"/>
      <c r="F32" s="1035"/>
      <c r="G32" s="1037"/>
      <c r="H32" s="1036"/>
      <c r="I32" s="536"/>
    </row>
    <row r="33" spans="1:9" ht="11.25" customHeight="1">
      <c r="A33" s="495" t="s">
        <v>503</v>
      </c>
      <c r="B33" s="1035">
        <v>476033.87</v>
      </c>
      <c r="C33" s="1036"/>
      <c r="D33" s="1035"/>
      <c r="E33" s="1036"/>
      <c r="F33" s="1035"/>
      <c r="G33" s="1037"/>
      <c r="H33" s="1036"/>
      <c r="I33" s="536"/>
    </row>
    <row r="34" spans="1:9" ht="11.25" customHeight="1">
      <c r="A34" s="495" t="s">
        <v>443</v>
      </c>
      <c r="B34" s="1035"/>
      <c r="C34" s="1036"/>
      <c r="D34" s="1035"/>
      <c r="E34" s="1036"/>
      <c r="F34" s="1035"/>
      <c r="G34" s="1037"/>
      <c r="H34" s="1036"/>
      <c r="I34" s="536"/>
    </row>
    <row r="35" spans="1:9" ht="11.25" customHeight="1">
      <c r="A35" s="495" t="s">
        <v>504</v>
      </c>
      <c r="B35" s="972">
        <f>B27-B28-B29-B30</f>
        <v>1870901.0699999998</v>
      </c>
      <c r="C35" s="973"/>
      <c r="D35" s="972">
        <f>D27-D28-D29-D30</f>
        <v>0</v>
      </c>
      <c r="E35" s="973"/>
      <c r="F35" s="1039">
        <f>F27-F28-F29-F30</f>
        <v>0</v>
      </c>
      <c r="G35" s="1040"/>
      <c r="H35" s="1041"/>
      <c r="I35" s="536"/>
    </row>
    <row r="36" spans="1:9" ht="11.25" customHeight="1">
      <c r="A36" s="513" t="s">
        <v>505</v>
      </c>
      <c r="B36" s="919">
        <f>B13+B35</f>
        <v>43348733.089999996</v>
      </c>
      <c r="C36" s="921"/>
      <c r="D36" s="919">
        <f>D13+D35</f>
        <v>4689443.38</v>
      </c>
      <c r="E36" s="921"/>
      <c r="F36" s="919">
        <f>F13+F35</f>
        <v>5556191.79</v>
      </c>
      <c r="G36" s="920"/>
      <c r="H36" s="921"/>
      <c r="I36" s="537"/>
    </row>
    <row r="37" spans="1:4" ht="11.25" customHeight="1">
      <c r="A37" s="514"/>
      <c r="B37" s="515"/>
      <c r="C37" s="502"/>
      <c r="D37" s="502"/>
    </row>
    <row r="38" spans="1:8" ht="41.25" customHeight="1">
      <c r="A38" s="1048" t="s">
        <v>506</v>
      </c>
      <c r="B38" s="833" t="s">
        <v>120</v>
      </c>
      <c r="C38" s="901" t="s">
        <v>121</v>
      </c>
      <c r="D38" s="901"/>
      <c r="E38" s="900" t="s">
        <v>122</v>
      </c>
      <c r="F38" s="902"/>
      <c r="G38" s="900" t="s">
        <v>163</v>
      </c>
      <c r="H38" s="902"/>
    </row>
    <row r="39" spans="1:8" ht="15" customHeight="1">
      <c r="A39" s="1049"/>
      <c r="B39" s="834"/>
      <c r="C39" s="507" t="s">
        <v>369</v>
      </c>
      <c r="D39" s="507" t="s">
        <v>369</v>
      </c>
      <c r="E39" s="507" t="s">
        <v>369</v>
      </c>
      <c r="F39" s="516" t="s">
        <v>369</v>
      </c>
      <c r="G39" s="487" t="s">
        <v>393</v>
      </c>
      <c r="H39" s="487" t="s">
        <v>393</v>
      </c>
    </row>
    <row r="40" spans="1:8" ht="12.75">
      <c r="A40" s="1050"/>
      <c r="B40" s="835"/>
      <c r="C40" s="511" t="str">
        <f>+$D$12</f>
        <v>2017</v>
      </c>
      <c r="D40" s="510" t="str">
        <f>#N/A</f>
        <v>&lt;Exercício Anterior&gt;</v>
      </c>
      <c r="E40" s="511" t="str">
        <f>+$D$12</f>
        <v>2017</v>
      </c>
      <c r="F40" s="510" t="str">
        <f>#N/A</f>
        <v>&lt;Exercício Anterior&gt;</v>
      </c>
      <c r="G40" s="511" t="str">
        <f>+$D$12</f>
        <v>2017</v>
      </c>
      <c r="H40" s="490" t="str">
        <f>#N/A</f>
        <v>&lt;Exercício Anterior&gt;</v>
      </c>
    </row>
    <row r="41" spans="1:8" ht="11.25" customHeight="1">
      <c r="A41" s="495" t="s">
        <v>507</v>
      </c>
      <c r="B41" s="517">
        <f aca="true" t="shared" si="0" ref="B41:H41">SUM(B42:B44)</f>
        <v>30489760.67</v>
      </c>
      <c r="C41" s="517">
        <f t="shared" si="0"/>
        <v>3139350.26</v>
      </c>
      <c r="D41" s="517">
        <f t="shared" si="0"/>
        <v>3139350.26</v>
      </c>
      <c r="E41" s="517">
        <f t="shared" si="0"/>
        <v>2447044.73</v>
      </c>
      <c r="F41" s="517">
        <f t="shared" si="0"/>
        <v>2447044.73</v>
      </c>
      <c r="G41" s="517">
        <f t="shared" si="0"/>
        <v>0</v>
      </c>
      <c r="H41" s="517">
        <f t="shared" si="0"/>
        <v>0</v>
      </c>
    </row>
    <row r="42" spans="1:8" ht="11.25" customHeight="1">
      <c r="A42" s="495" t="s">
        <v>508</v>
      </c>
      <c r="B42" s="518">
        <v>17611678.1</v>
      </c>
      <c r="C42" s="518">
        <v>2538921.11</v>
      </c>
      <c r="D42" s="518">
        <v>2538921.11</v>
      </c>
      <c r="E42" s="518">
        <v>2409466.42</v>
      </c>
      <c r="F42" s="518">
        <v>2409466.42</v>
      </c>
      <c r="G42" s="518"/>
      <c r="H42" s="518"/>
    </row>
    <row r="43" spans="1:8" ht="11.25" customHeight="1">
      <c r="A43" s="495" t="s">
        <v>509</v>
      </c>
      <c r="B43" s="519"/>
      <c r="C43" s="519"/>
      <c r="D43" s="519"/>
      <c r="E43" s="519"/>
      <c r="F43" s="519"/>
      <c r="G43" s="519"/>
      <c r="H43" s="519"/>
    </row>
    <row r="44" spans="1:8" ht="11.25" customHeight="1">
      <c r="A44" s="495" t="s">
        <v>510</v>
      </c>
      <c r="B44" s="518">
        <v>12878082.57</v>
      </c>
      <c r="C44" s="518">
        <v>600429.15</v>
      </c>
      <c r="D44" s="518">
        <v>600429.15</v>
      </c>
      <c r="E44" s="518">
        <v>37578.31</v>
      </c>
      <c r="F44" s="518">
        <v>37578.31</v>
      </c>
      <c r="G44" s="518"/>
      <c r="H44" s="518"/>
    </row>
    <row r="45" spans="1:8" ht="11.25" customHeight="1">
      <c r="A45" s="495" t="s">
        <v>511</v>
      </c>
      <c r="B45" s="517">
        <f aca="true" t="shared" si="1" ref="B45:H45">B41-B43</f>
        <v>30489760.67</v>
      </c>
      <c r="C45" s="517">
        <f t="shared" si="1"/>
        <v>3139350.26</v>
      </c>
      <c r="D45" s="517">
        <f t="shared" si="1"/>
        <v>3139350.26</v>
      </c>
      <c r="E45" s="517">
        <f t="shared" si="1"/>
        <v>2447044.73</v>
      </c>
      <c r="F45" s="517">
        <f t="shared" si="1"/>
        <v>2447044.73</v>
      </c>
      <c r="G45" s="517">
        <f t="shared" si="1"/>
        <v>0</v>
      </c>
      <c r="H45" s="517">
        <f t="shared" si="1"/>
        <v>0</v>
      </c>
    </row>
    <row r="46" spans="1:8" ht="11.25" customHeight="1">
      <c r="A46" s="480" t="s">
        <v>512</v>
      </c>
      <c r="B46" s="520">
        <f aca="true" t="shared" si="2" ref="B46:H46">SUM(B47:B48,B52)</f>
        <v>0</v>
      </c>
      <c r="C46" s="520">
        <f t="shared" si="2"/>
        <v>0</v>
      </c>
      <c r="D46" s="520">
        <f t="shared" si="2"/>
        <v>0</v>
      </c>
      <c r="E46" s="520">
        <f t="shared" si="2"/>
        <v>0</v>
      </c>
      <c r="F46" s="520">
        <f t="shared" si="2"/>
        <v>0</v>
      </c>
      <c r="G46" s="520">
        <f t="shared" si="2"/>
        <v>0</v>
      </c>
      <c r="H46" s="520">
        <f t="shared" si="2"/>
        <v>0</v>
      </c>
    </row>
    <row r="47" spans="1:8" ht="11.25" customHeight="1">
      <c r="A47" s="495" t="s">
        <v>513</v>
      </c>
      <c r="B47" s="519"/>
      <c r="C47" s="519"/>
      <c r="D47" s="519"/>
      <c r="E47" s="519"/>
      <c r="F47" s="519"/>
      <c r="G47" s="519"/>
      <c r="H47" s="519"/>
    </row>
    <row r="48" spans="1:8" ht="11.25" customHeight="1">
      <c r="A48" s="495" t="s">
        <v>514</v>
      </c>
      <c r="B48" s="517">
        <f aca="true" t="shared" si="3" ref="B48:H48">SUM(B49:B51)</f>
        <v>0</v>
      </c>
      <c r="C48" s="517">
        <f t="shared" si="3"/>
        <v>0</v>
      </c>
      <c r="D48" s="517">
        <f t="shared" si="3"/>
        <v>0</v>
      </c>
      <c r="E48" s="517">
        <f t="shared" si="3"/>
        <v>0</v>
      </c>
      <c r="F48" s="517">
        <f t="shared" si="3"/>
        <v>0</v>
      </c>
      <c r="G48" s="517">
        <f t="shared" si="3"/>
        <v>0</v>
      </c>
      <c r="H48" s="517">
        <f t="shared" si="3"/>
        <v>0</v>
      </c>
    </row>
    <row r="49" spans="1:8" ht="11.25" customHeight="1">
      <c r="A49" s="495" t="s">
        <v>515</v>
      </c>
      <c r="B49" s="519"/>
      <c r="C49" s="519"/>
      <c r="D49" s="519"/>
      <c r="E49" s="519"/>
      <c r="F49" s="519"/>
      <c r="G49" s="519"/>
      <c r="H49" s="519"/>
    </row>
    <row r="50" spans="1:8" ht="11.25" customHeight="1">
      <c r="A50" s="495" t="s">
        <v>516</v>
      </c>
      <c r="B50" s="519"/>
      <c r="C50" s="519"/>
      <c r="D50" s="519"/>
      <c r="E50" s="519"/>
      <c r="F50" s="519"/>
      <c r="G50" s="519"/>
      <c r="H50" s="519"/>
    </row>
    <row r="51" spans="1:8" ht="11.25" customHeight="1">
      <c r="A51" s="495" t="s">
        <v>517</v>
      </c>
      <c r="B51" s="519"/>
      <c r="C51" s="519"/>
      <c r="D51" s="519"/>
      <c r="E51" s="519"/>
      <c r="F51" s="519"/>
      <c r="G51" s="519"/>
      <c r="H51" s="519"/>
    </row>
    <row r="52" spans="1:8" ht="11.25" customHeight="1">
      <c r="A52" s="495" t="s">
        <v>518</v>
      </c>
      <c r="B52" s="519"/>
      <c r="C52" s="519"/>
      <c r="D52" s="519"/>
      <c r="E52" s="519"/>
      <c r="F52" s="519"/>
      <c r="G52" s="519"/>
      <c r="H52" s="519"/>
    </row>
    <row r="53" spans="1:8" ht="11.25" customHeight="1">
      <c r="A53" s="480" t="s">
        <v>519</v>
      </c>
      <c r="B53" s="520">
        <f aca="true" t="shared" si="4" ref="B53:H53">B46-B49-B50-B52</f>
        <v>0</v>
      </c>
      <c r="C53" s="520">
        <f t="shared" si="4"/>
        <v>0</v>
      </c>
      <c r="D53" s="520">
        <f t="shared" si="4"/>
        <v>0</v>
      </c>
      <c r="E53" s="520">
        <f t="shared" si="4"/>
        <v>0</v>
      </c>
      <c r="F53" s="520">
        <f t="shared" si="4"/>
        <v>0</v>
      </c>
      <c r="G53" s="520">
        <f t="shared" si="4"/>
        <v>0</v>
      </c>
      <c r="H53" s="520">
        <f t="shared" si="4"/>
        <v>0</v>
      </c>
    </row>
    <row r="54" spans="1:8" ht="11.25" customHeight="1">
      <c r="A54" s="480" t="s">
        <v>520</v>
      </c>
      <c r="B54" s="519">
        <v>375061</v>
      </c>
      <c r="C54" s="521"/>
      <c r="D54" s="521"/>
      <c r="E54" s="521"/>
      <c r="F54" s="521"/>
      <c r="G54" s="521"/>
      <c r="H54" s="521"/>
    </row>
    <row r="55" spans="1:8" ht="11.25" customHeight="1">
      <c r="A55" s="480" t="s">
        <v>521</v>
      </c>
      <c r="B55" s="768" t="s">
        <v>1029</v>
      </c>
      <c r="C55" s="521"/>
      <c r="D55" s="521"/>
      <c r="E55" s="521"/>
      <c r="F55" s="521"/>
      <c r="G55" s="521"/>
      <c r="H55" s="521"/>
    </row>
    <row r="56" spans="1:8" ht="11.25" customHeight="1">
      <c r="A56" s="522" t="s">
        <v>522</v>
      </c>
      <c r="B56" s="523" t="e">
        <f>B45+B53+B54+B55</f>
        <v>#VALUE!</v>
      </c>
      <c r="C56" s="523">
        <f aca="true" t="shared" si="5" ref="C56:H56">C45+C53+C54+C55</f>
        <v>3139350.26</v>
      </c>
      <c r="D56" s="523">
        <f t="shared" si="5"/>
        <v>3139350.26</v>
      </c>
      <c r="E56" s="523">
        <f t="shared" si="5"/>
        <v>2447044.73</v>
      </c>
      <c r="F56" s="523">
        <f t="shared" si="5"/>
        <v>2447044.73</v>
      </c>
      <c r="G56" s="523">
        <f t="shared" si="5"/>
        <v>0</v>
      </c>
      <c r="H56" s="523">
        <f t="shared" si="5"/>
        <v>0</v>
      </c>
    </row>
    <row r="57" spans="1:8" ht="11.25" customHeight="1">
      <c r="A57" s="524"/>
      <c r="B57" s="515"/>
      <c r="C57" s="525"/>
      <c r="D57" s="526"/>
      <c r="F57" s="498"/>
      <c r="H57" s="498"/>
    </row>
    <row r="58" spans="1:8" ht="11.25" customHeight="1">
      <c r="A58" s="522" t="s">
        <v>523</v>
      </c>
      <c r="B58" s="527" t="e">
        <f>B36-B56</f>
        <v>#VALUE!</v>
      </c>
      <c r="C58" s="528">
        <f>$D36-C56</f>
        <v>1550093.12</v>
      </c>
      <c r="D58" s="529">
        <f>$F36-D56</f>
        <v>2416841.5300000003</v>
      </c>
      <c r="E58" s="528">
        <f>$D36-E56</f>
        <v>2242398.65</v>
      </c>
      <c r="F58" s="529">
        <f>$F36-F56</f>
        <v>3109147.06</v>
      </c>
      <c r="G58" s="528">
        <f>$D36-G56</f>
        <v>4689443.38</v>
      </c>
      <c r="H58" s="529">
        <f>$F36-H56</f>
        <v>5556191.79</v>
      </c>
    </row>
    <row r="59" spans="1:8" ht="11.25" customHeight="1">
      <c r="A59" s="524"/>
      <c r="B59" s="515"/>
      <c r="C59" s="525"/>
      <c r="D59" s="526"/>
      <c r="F59" s="498"/>
      <c r="H59" s="498"/>
    </row>
    <row r="60" spans="1:8" ht="11.25" customHeight="1">
      <c r="A60" s="522" t="s">
        <v>524</v>
      </c>
      <c r="B60" s="521"/>
      <c r="C60" s="530"/>
      <c r="D60" s="531"/>
      <c r="E60" s="532"/>
      <c r="F60" s="533"/>
      <c r="G60" s="533"/>
      <c r="H60" s="534"/>
    </row>
    <row r="61" spans="1:4" ht="11.25" customHeight="1">
      <c r="A61" s="495"/>
      <c r="B61" s="502"/>
      <c r="C61" s="502"/>
      <c r="D61" s="535"/>
    </row>
    <row r="62" spans="1:8" ht="11.25" customHeight="1">
      <c r="A62" s="1051" t="s">
        <v>478</v>
      </c>
      <c r="B62" s="1052"/>
      <c r="C62" s="1052"/>
      <c r="D62" s="1053"/>
      <c r="E62" s="884" t="s">
        <v>479</v>
      </c>
      <c r="F62" s="885"/>
      <c r="G62" s="885"/>
      <c r="H62" s="886"/>
    </row>
    <row r="63" spans="1:8" ht="11.25" customHeight="1">
      <c r="A63" s="1054"/>
      <c r="B63" s="1055"/>
      <c r="C63" s="1055"/>
      <c r="D63" s="1056"/>
      <c r="E63" s="897"/>
      <c r="F63" s="898"/>
      <c r="G63" s="898"/>
      <c r="H63" s="888"/>
    </row>
    <row r="64" spans="1:8" ht="11.25" customHeight="1">
      <c r="A64" s="1042" t="s">
        <v>525</v>
      </c>
      <c r="B64" s="1042"/>
      <c r="C64" s="1042"/>
      <c r="D64" s="1043"/>
      <c r="E64" s="1044"/>
      <c r="F64" s="1045"/>
      <c r="G64" s="1045"/>
      <c r="H64" s="1046"/>
    </row>
    <row r="65" spans="1:8" ht="13.5" customHeight="1">
      <c r="A65" s="1047" t="s">
        <v>155</v>
      </c>
      <c r="B65" s="1047"/>
      <c r="C65" s="1047"/>
      <c r="D65" s="1047"/>
      <c r="E65" s="1047"/>
      <c r="F65" s="1047"/>
      <c r="G65" s="1047"/>
      <c r="H65" s="1047"/>
    </row>
    <row r="66" spans="1:4" ht="11.25" customHeight="1">
      <c r="A66" s="498"/>
      <c r="B66" s="498"/>
      <c r="D66" s="498"/>
    </row>
    <row r="68" spans="1:4" s="498" customFormat="1" ht="11.25" customHeight="1">
      <c r="A68" s="499"/>
      <c r="B68" s="499"/>
      <c r="D68" s="499"/>
    </row>
  </sheetData>
  <sheetProtection password="C236" sheet="1" objects="1" formatColumns="0" selectLockedCells="1"/>
  <mergeCells count="93">
    <mergeCell ref="A64:D64"/>
    <mergeCell ref="E64:H64"/>
    <mergeCell ref="A65:H65"/>
    <mergeCell ref="A38:A40"/>
    <mergeCell ref="B38:B40"/>
    <mergeCell ref="B10:C12"/>
    <mergeCell ref="A62:D63"/>
    <mergeCell ref="E62:H63"/>
    <mergeCell ref="B36:C36"/>
    <mergeCell ref="D36:E36"/>
    <mergeCell ref="F36:H36"/>
    <mergeCell ref="C38:D38"/>
    <mergeCell ref="E38:F38"/>
    <mergeCell ref="G38:H38"/>
    <mergeCell ref="B34:C34"/>
    <mergeCell ref="D34:E34"/>
    <mergeCell ref="F34:H34"/>
    <mergeCell ref="B35:C35"/>
    <mergeCell ref="D35:E35"/>
    <mergeCell ref="F35:H35"/>
    <mergeCell ref="B32:C32"/>
    <mergeCell ref="D32:E32"/>
    <mergeCell ref="F32:H32"/>
    <mergeCell ref="B33:C33"/>
    <mergeCell ref="D33:E33"/>
    <mergeCell ref="F33:H33"/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B22:C22"/>
    <mergeCell ref="D22:E22"/>
    <mergeCell ref="F22:H22"/>
    <mergeCell ref="B23:C23"/>
    <mergeCell ref="D23:E23"/>
    <mergeCell ref="F23:H23"/>
    <mergeCell ref="B20:C20"/>
    <mergeCell ref="D20:E20"/>
    <mergeCell ref="F20:H20"/>
    <mergeCell ref="B21:C21"/>
    <mergeCell ref="D21:E21"/>
    <mergeCell ref="F21:H21"/>
    <mergeCell ref="B18:C18"/>
    <mergeCell ref="D18:E18"/>
    <mergeCell ref="F18:H18"/>
    <mergeCell ref="B19:C19"/>
    <mergeCell ref="D19:E19"/>
    <mergeCell ref="F19:H19"/>
    <mergeCell ref="B16:C16"/>
    <mergeCell ref="D16:E16"/>
    <mergeCell ref="F16:H16"/>
    <mergeCell ref="B17:C17"/>
    <mergeCell ref="D17:E17"/>
    <mergeCell ref="F17:H17"/>
    <mergeCell ref="B14:C14"/>
    <mergeCell ref="D14:E14"/>
    <mergeCell ref="F14:H14"/>
    <mergeCell ref="B15:C15"/>
    <mergeCell ref="D15:E15"/>
    <mergeCell ref="F15:H15"/>
    <mergeCell ref="D11:E11"/>
    <mergeCell ref="F11:H11"/>
    <mergeCell ref="D12:E12"/>
    <mergeCell ref="F12:H12"/>
    <mergeCell ref="B13:C13"/>
    <mergeCell ref="D13:E13"/>
    <mergeCell ref="F13:H13"/>
    <mergeCell ref="A3:D3"/>
    <mergeCell ref="A4:D4"/>
    <mergeCell ref="A5:D5"/>
    <mergeCell ref="A6:D6"/>
    <mergeCell ref="A7:D7"/>
    <mergeCell ref="D10:H10"/>
  </mergeCells>
  <printOptions horizontalCentered="1"/>
  <pageMargins left="0.39" right="0.2" top="1.18" bottom="0.39" header="0.2" footer="0.2"/>
  <pageSetup horizontalDpi="600" verticalDpi="600" orientation="landscape" paperSize="9" scale="90"/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115" zoomScaleNormal="115" zoomScalePageLayoutView="0" workbookViewId="0" topLeftCell="A13">
      <selection activeCell="G17" sqref="G17"/>
    </sheetView>
  </sheetViews>
  <sheetFormatPr defaultColWidth="3.28125" defaultRowHeight="11.25" customHeight="1"/>
  <cols>
    <col min="1" max="1" width="51.00390625" style="480" customWidth="1"/>
    <col min="2" max="2" width="10.8515625" style="480" customWidth="1"/>
    <col min="3" max="3" width="12.140625" style="480" customWidth="1"/>
    <col min="4" max="4" width="10.28125" style="480" customWidth="1"/>
    <col min="5" max="5" width="10.421875" style="480" customWidth="1"/>
    <col min="6" max="6" width="10.7109375" style="480" customWidth="1"/>
    <col min="7" max="7" width="10.8515625" style="480" customWidth="1"/>
    <col min="8" max="8" width="11.7109375" style="480" customWidth="1"/>
    <col min="9" max="9" width="11.28125" style="480" customWidth="1"/>
    <col min="10" max="10" width="8.28125" style="480" customWidth="1"/>
    <col min="11" max="11" width="11.28125" style="480" customWidth="1"/>
    <col min="12" max="12" width="8.421875" style="480" customWidth="1"/>
    <col min="13" max="13" width="12.00390625" style="481" customWidth="1"/>
    <col min="14" max="16384" width="3.28125" style="481" customWidth="1"/>
  </cols>
  <sheetData>
    <row r="1" spans="1:12" s="478" customFormat="1" ht="15.75">
      <c r="A1" s="314" t="s">
        <v>526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</row>
    <row r="2" ht="12.75"/>
    <row r="3" spans="1:12" ht="12.75">
      <c r="A3" s="869" t="str">
        <f>+'Informações Iniciais'!A1:B1</f>
        <v>ESTADO DO MARANHÃO - PREFEITURA MUNICIPAL DE DAVINOPOLIS</v>
      </c>
      <c r="B3" s="869"/>
      <c r="C3" s="869"/>
      <c r="D3" s="869"/>
      <c r="E3" s="869"/>
      <c r="F3" s="869"/>
      <c r="G3" s="869"/>
      <c r="H3" s="869"/>
      <c r="I3" s="869"/>
      <c r="J3" s="869"/>
      <c r="K3" s="869"/>
      <c r="L3" s="869"/>
    </row>
    <row r="4" spans="1:12" ht="12.75">
      <c r="A4" s="869" t="s">
        <v>1</v>
      </c>
      <c r="B4" s="869"/>
      <c r="C4" s="869"/>
      <c r="D4" s="869"/>
      <c r="E4" s="869"/>
      <c r="F4" s="869"/>
      <c r="G4" s="869"/>
      <c r="H4" s="869"/>
      <c r="I4" s="869"/>
      <c r="J4" s="869"/>
      <c r="K4" s="869"/>
      <c r="L4" s="869"/>
    </row>
    <row r="5" spans="1:12" ht="12.75">
      <c r="A5" s="868" t="s">
        <v>527</v>
      </c>
      <c r="B5" s="868"/>
      <c r="C5" s="868"/>
      <c r="D5" s="868"/>
      <c r="E5" s="868"/>
      <c r="F5" s="868"/>
      <c r="G5" s="868"/>
      <c r="H5" s="868"/>
      <c r="I5" s="868"/>
      <c r="J5" s="868"/>
      <c r="K5" s="868"/>
      <c r="L5" s="868"/>
    </row>
    <row r="6" spans="1:12" ht="12.75">
      <c r="A6" s="869" t="s">
        <v>30</v>
      </c>
      <c r="B6" s="869"/>
      <c r="C6" s="869"/>
      <c r="D6" s="869"/>
      <c r="E6" s="869"/>
      <c r="F6" s="869"/>
      <c r="G6" s="869"/>
      <c r="H6" s="869"/>
      <c r="I6" s="869"/>
      <c r="J6" s="869"/>
      <c r="K6" s="869"/>
      <c r="L6" s="869"/>
    </row>
    <row r="7" spans="1:12" ht="12.75">
      <c r="A7" s="869" t="str">
        <f>+'Informações Iniciais'!A5:B5</f>
        <v>1º Bimestre de 2017</v>
      </c>
      <c r="B7" s="869"/>
      <c r="C7" s="869"/>
      <c r="D7" s="869"/>
      <c r="E7" s="869"/>
      <c r="F7" s="869"/>
      <c r="G7" s="869"/>
      <c r="H7" s="869"/>
      <c r="I7" s="869"/>
      <c r="J7" s="869"/>
      <c r="K7" s="869"/>
      <c r="L7" s="869"/>
    </row>
    <row r="8" spans="1:12" ht="12.75">
      <c r="A8" s="483"/>
      <c r="B8" s="483"/>
      <c r="C8" s="481"/>
      <c r="D8" s="481"/>
      <c r="E8" s="481"/>
      <c r="F8" s="481"/>
      <c r="G8" s="481"/>
      <c r="H8" s="481"/>
      <c r="I8" s="481"/>
      <c r="J8" s="481"/>
      <c r="K8" s="481"/>
      <c r="L8" s="481"/>
    </row>
    <row r="9" spans="1:13" ht="12.75">
      <c r="A9" s="484" t="s">
        <v>528</v>
      </c>
      <c r="B9" s="485"/>
      <c r="C9" s="481"/>
      <c r="D9" s="481"/>
      <c r="E9" s="481"/>
      <c r="F9" s="481"/>
      <c r="G9" s="481"/>
      <c r="H9" s="481"/>
      <c r="I9" s="481"/>
      <c r="J9" s="481"/>
      <c r="K9" s="481"/>
      <c r="L9" s="496"/>
      <c r="M9" s="496">
        <v>1</v>
      </c>
    </row>
    <row r="10" spans="1:13" ht="42.75" customHeight="1">
      <c r="A10" s="886" t="s">
        <v>529</v>
      </c>
      <c r="B10" s="900" t="s">
        <v>530</v>
      </c>
      <c r="C10" s="901"/>
      <c r="D10" s="901"/>
      <c r="E10" s="901"/>
      <c r="F10" s="902"/>
      <c r="G10" s="881" t="s">
        <v>531</v>
      </c>
      <c r="H10" s="1057"/>
      <c r="I10" s="1057"/>
      <c r="J10" s="1057"/>
      <c r="K10" s="1057"/>
      <c r="L10" s="1058"/>
      <c r="M10" s="1062" t="s">
        <v>532</v>
      </c>
    </row>
    <row r="11" spans="1:13" ht="12.75">
      <c r="A11" s="887"/>
      <c r="B11" s="1059" t="s">
        <v>533</v>
      </c>
      <c r="C11" s="1059"/>
      <c r="D11" s="875" t="s">
        <v>534</v>
      </c>
      <c r="E11" s="875" t="s">
        <v>535</v>
      </c>
      <c r="F11" s="1066" t="s">
        <v>536</v>
      </c>
      <c r="G11" s="786" t="s">
        <v>533</v>
      </c>
      <c r="H11" s="1060"/>
      <c r="I11" s="875" t="s">
        <v>537</v>
      </c>
      <c r="J11" s="875" t="s">
        <v>534</v>
      </c>
      <c r="K11" s="875" t="s">
        <v>535</v>
      </c>
      <c r="L11" s="1066" t="s">
        <v>536</v>
      </c>
      <c r="M11" s="1063"/>
    </row>
    <row r="12" spans="1:13" ht="12.75" customHeight="1">
      <c r="A12" s="887"/>
      <c r="B12" s="1062" t="s">
        <v>538</v>
      </c>
      <c r="C12" s="1062" t="s">
        <v>539</v>
      </c>
      <c r="D12" s="1065"/>
      <c r="E12" s="1065"/>
      <c r="F12" s="1067"/>
      <c r="G12" s="1062" t="s">
        <v>538</v>
      </c>
      <c r="H12" s="1062" t="s">
        <v>539</v>
      </c>
      <c r="I12" s="1065"/>
      <c r="J12" s="1065"/>
      <c r="K12" s="1065"/>
      <c r="L12" s="1067"/>
      <c r="M12" s="1063"/>
    </row>
    <row r="13" spans="1:13" ht="12.75" customHeight="1">
      <c r="A13" s="887"/>
      <c r="B13" s="1063"/>
      <c r="C13" s="1063"/>
      <c r="D13" s="1065"/>
      <c r="E13" s="1065"/>
      <c r="F13" s="1067"/>
      <c r="G13" s="1063"/>
      <c r="H13" s="1063"/>
      <c r="I13" s="1065"/>
      <c r="J13" s="1065"/>
      <c r="K13" s="1065"/>
      <c r="L13" s="1067"/>
      <c r="M13" s="1063"/>
    </row>
    <row r="14" spans="1:13" ht="12.75" customHeight="1">
      <c r="A14" s="887"/>
      <c r="B14" s="1063"/>
      <c r="C14" s="1063">
        <f>IF(A7="&lt;SELECIONE O PERÍODO CLICANDO NA SETA AO LADO&gt;","&lt;Exercício Anterior&gt;",(RIGHT(A7,4)-1))</f>
        <v>2016</v>
      </c>
      <c r="D14" s="1065"/>
      <c r="E14" s="1065"/>
      <c r="F14" s="1067"/>
      <c r="G14" s="1063"/>
      <c r="H14" s="1063">
        <f>+C14</f>
        <v>2016</v>
      </c>
      <c r="I14" s="1065"/>
      <c r="J14" s="1065"/>
      <c r="K14" s="1065"/>
      <c r="L14" s="1067"/>
      <c r="M14" s="1063"/>
    </row>
    <row r="15" spans="1:13" s="479" customFormat="1" ht="12.75" customHeight="1">
      <c r="A15" s="888"/>
      <c r="B15" s="1064"/>
      <c r="C15" s="1064"/>
      <c r="D15" s="876"/>
      <c r="E15" s="876"/>
      <c r="F15" s="491" t="s">
        <v>41</v>
      </c>
      <c r="G15" s="1064"/>
      <c r="H15" s="1064"/>
      <c r="I15" s="876"/>
      <c r="J15" s="876"/>
      <c r="K15" s="876"/>
      <c r="L15" s="491" t="s">
        <v>42</v>
      </c>
      <c r="M15" s="1064"/>
    </row>
    <row r="16" spans="1:13" ht="12.75">
      <c r="A16" s="483" t="s">
        <v>540</v>
      </c>
      <c r="B16" s="492">
        <f>B17+B18</f>
        <v>0</v>
      </c>
      <c r="C16" s="492">
        <f aca="true" t="shared" si="0" ref="C16:M16">C17+C18</f>
        <v>543156.38</v>
      </c>
      <c r="D16" s="492">
        <f t="shared" si="0"/>
        <v>411203.61</v>
      </c>
      <c r="E16" s="492">
        <f t="shared" si="0"/>
        <v>0</v>
      </c>
      <c r="F16" s="492">
        <f t="shared" si="0"/>
        <v>131952.77</v>
      </c>
      <c r="G16" s="492">
        <f t="shared" si="0"/>
        <v>0</v>
      </c>
      <c r="H16" s="492">
        <f t="shared" si="0"/>
        <v>0</v>
      </c>
      <c r="I16" s="492">
        <f t="shared" si="0"/>
        <v>0</v>
      </c>
      <c r="J16" s="492">
        <f t="shared" si="0"/>
        <v>0</v>
      </c>
      <c r="K16" s="492">
        <f t="shared" si="0"/>
        <v>0</v>
      </c>
      <c r="L16" s="492">
        <f t="shared" si="0"/>
        <v>0</v>
      </c>
      <c r="M16" s="492">
        <f t="shared" si="0"/>
        <v>131952.77</v>
      </c>
    </row>
    <row r="17" spans="1:13" ht="12.75">
      <c r="A17" s="483" t="s">
        <v>541</v>
      </c>
      <c r="B17" s="372"/>
      <c r="C17" s="372">
        <v>543156.38</v>
      </c>
      <c r="D17" s="372">
        <v>411203.61</v>
      </c>
      <c r="E17" s="372"/>
      <c r="F17" s="372">
        <v>131952.77</v>
      </c>
      <c r="G17" s="372"/>
      <c r="H17" s="372"/>
      <c r="I17" s="372"/>
      <c r="J17" s="372"/>
      <c r="K17" s="370"/>
      <c r="L17" s="370"/>
      <c r="M17" s="492">
        <f>F17+L17</f>
        <v>131952.77</v>
      </c>
    </row>
    <row r="18" spans="1:13" ht="12.75">
      <c r="A18" s="483" t="s">
        <v>542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0"/>
      <c r="L18" s="370"/>
      <c r="M18" s="492">
        <f>F18+L18</f>
        <v>0</v>
      </c>
    </row>
    <row r="19" spans="1:13" ht="12.75">
      <c r="A19" s="483" t="s">
        <v>543</v>
      </c>
      <c r="B19" s="372"/>
      <c r="C19" s="372"/>
      <c r="D19" s="372"/>
      <c r="E19" s="372"/>
      <c r="F19" s="372"/>
      <c r="G19" s="372"/>
      <c r="H19" s="372"/>
      <c r="I19" s="372"/>
      <c r="J19" s="372"/>
      <c r="K19" s="370"/>
      <c r="L19" s="370"/>
      <c r="M19" s="492">
        <f>F19+L19</f>
        <v>0</v>
      </c>
    </row>
    <row r="20" spans="1:13" ht="12.75">
      <c r="A20" s="493" t="s">
        <v>317</v>
      </c>
      <c r="B20" s="494">
        <f>B16+B19</f>
        <v>0</v>
      </c>
      <c r="C20" s="494">
        <f>C16+C19</f>
        <v>543156.38</v>
      </c>
      <c r="D20" s="494">
        <f>D16+D19</f>
        <v>411203.61</v>
      </c>
      <c r="E20" s="494">
        <f aca="true" t="shared" si="1" ref="E20:M20">E16+E19</f>
        <v>0</v>
      </c>
      <c r="F20" s="494">
        <f t="shared" si="1"/>
        <v>131952.77</v>
      </c>
      <c r="G20" s="494">
        <f t="shared" si="1"/>
        <v>0</v>
      </c>
      <c r="H20" s="494">
        <f t="shared" si="1"/>
        <v>0</v>
      </c>
      <c r="I20" s="494">
        <f t="shared" si="1"/>
        <v>0</v>
      </c>
      <c r="J20" s="494">
        <f t="shared" si="1"/>
        <v>0</v>
      </c>
      <c r="K20" s="494">
        <f t="shared" si="1"/>
        <v>0</v>
      </c>
      <c r="L20" s="494">
        <f t="shared" si="1"/>
        <v>0</v>
      </c>
      <c r="M20" s="497">
        <f t="shared" si="1"/>
        <v>131952.77</v>
      </c>
    </row>
    <row r="21" spans="1:13" ht="12.75">
      <c r="A21" s="1061" t="s">
        <v>544</v>
      </c>
      <c r="B21" s="1061"/>
      <c r="C21" s="1061"/>
      <c r="D21" s="1061"/>
      <c r="E21" s="1061"/>
      <c r="F21" s="1061"/>
      <c r="G21" s="1061"/>
      <c r="H21" s="1061"/>
      <c r="I21" s="1061"/>
      <c r="J21" s="1061"/>
      <c r="K21" s="1061"/>
      <c r="L21" s="1061"/>
      <c r="M21" s="1061"/>
    </row>
    <row r="22" ht="11.25" customHeight="1">
      <c r="A22" s="495"/>
    </row>
  </sheetData>
  <sheetProtection password="C236" sheet="1" objects="1" formatColumns="0" selectLockedCells="1"/>
  <mergeCells count="25">
    <mergeCell ref="L11:L14"/>
    <mergeCell ref="M10:M15"/>
    <mergeCell ref="G12:G15"/>
    <mergeCell ref="H12:H13"/>
    <mergeCell ref="H14:H15"/>
    <mergeCell ref="I11:I15"/>
    <mergeCell ref="J11:J15"/>
    <mergeCell ref="K11:K15"/>
    <mergeCell ref="B11:C11"/>
    <mergeCell ref="G11:H11"/>
    <mergeCell ref="A21:M21"/>
    <mergeCell ref="A10:A15"/>
    <mergeCell ref="B12:B15"/>
    <mergeCell ref="C12:C13"/>
    <mergeCell ref="C14:C15"/>
    <mergeCell ref="D11:D15"/>
    <mergeCell ref="E11:E15"/>
    <mergeCell ref="F11:F14"/>
    <mergeCell ref="A3:L3"/>
    <mergeCell ref="A4:L4"/>
    <mergeCell ref="A5:L5"/>
    <mergeCell ref="A6:L6"/>
    <mergeCell ref="A7:L7"/>
    <mergeCell ref="B10:F10"/>
    <mergeCell ref="G10:L10"/>
  </mergeCells>
  <printOptions horizontalCentered="1"/>
  <pageMargins left="0.2" right="0.28" top="0.59" bottom="0.39" header="0" footer="0.2"/>
  <pageSetup fitToHeight="1" fitToWidth="1" horizontalDpi="300" verticalDpi="300" orientation="landscape" paperSize="9" scale="83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8"/>
  <sheetViews>
    <sheetView showGridLines="0" zoomScalePageLayoutView="0" workbookViewId="0" topLeftCell="A82">
      <selection activeCell="G99" sqref="G99:H99"/>
    </sheetView>
  </sheetViews>
  <sheetFormatPr defaultColWidth="9.140625" defaultRowHeight="11.25" customHeight="1"/>
  <cols>
    <col min="1" max="1" width="78.421875" style="390" customWidth="1"/>
    <col min="2" max="6" width="13.7109375" style="390" customWidth="1"/>
    <col min="7" max="7" width="14.57421875" style="390" customWidth="1"/>
    <col min="8" max="8" width="20.140625" style="390" customWidth="1"/>
    <col min="9" max="9" width="21.140625" style="391" customWidth="1"/>
    <col min="10" max="10" width="14.00390625" style="391" customWidth="1"/>
    <col min="11" max="11" width="14.140625" style="391" customWidth="1"/>
    <col min="12" max="16384" width="9.140625" style="391" customWidth="1"/>
  </cols>
  <sheetData>
    <row r="1" spans="1:8" s="385" customFormat="1" ht="15.75">
      <c r="A1" s="1068" t="s">
        <v>545</v>
      </c>
      <c r="B1" s="1068"/>
      <c r="C1" s="1068"/>
      <c r="D1" s="1068"/>
      <c r="E1" s="1068"/>
      <c r="F1" s="1068"/>
      <c r="G1" s="392"/>
      <c r="H1" s="392"/>
    </row>
    <row r="2" spans="1:8" s="386" customFormat="1" ht="12.75">
      <c r="A2" s="349"/>
      <c r="B2" s="349"/>
      <c r="C2" s="349"/>
      <c r="D2" s="349"/>
      <c r="E2" s="349"/>
      <c r="F2" s="349"/>
      <c r="G2" s="325"/>
      <c r="H2" s="325"/>
    </row>
    <row r="3" spans="1:8" s="386" customFormat="1" ht="12.75">
      <c r="A3" s="1069" t="str">
        <f>+'Informações Iniciais'!A1:B1</f>
        <v>ESTADO DO MARANHÃO - PREFEITURA MUNICIPAL DE DAVINOPOLIS</v>
      </c>
      <c r="B3" s="1069"/>
      <c r="C3" s="1069"/>
      <c r="D3" s="1069"/>
      <c r="E3" s="1069"/>
      <c r="F3" s="1069"/>
      <c r="G3" s="325"/>
      <c r="H3" s="325"/>
    </row>
    <row r="4" spans="1:8" s="386" customFormat="1" ht="12.75">
      <c r="A4" s="1070" t="s">
        <v>1</v>
      </c>
      <c r="B4" s="1070"/>
      <c r="C4" s="1070"/>
      <c r="D4" s="1070"/>
      <c r="E4" s="1070"/>
      <c r="F4" s="1070"/>
      <c r="G4" s="325"/>
      <c r="H4" s="325"/>
    </row>
    <row r="5" spans="1:8" s="386" customFormat="1" ht="12.75">
      <c r="A5" s="1071" t="s">
        <v>546</v>
      </c>
      <c r="B5" s="1071"/>
      <c r="C5" s="1071"/>
      <c r="D5" s="1071"/>
      <c r="E5" s="1071"/>
      <c r="F5" s="1071"/>
      <c r="G5" s="325"/>
      <c r="H5" s="325"/>
    </row>
    <row r="6" spans="1:256" s="386" customFormat="1" ht="12.75">
      <c r="A6" s="1070" t="s">
        <v>30</v>
      </c>
      <c r="B6" s="1070"/>
      <c r="C6" s="1070"/>
      <c r="D6" s="1070"/>
      <c r="E6" s="1070"/>
      <c r="F6" s="1070"/>
      <c r="G6" s="325"/>
      <c r="H6" s="325"/>
      <c r="II6" s="1073" t="s">
        <v>2</v>
      </c>
      <c r="IJ6" s="1073"/>
      <c r="IK6" s="1073"/>
      <c r="IL6" s="1073"/>
      <c r="IM6" s="1073"/>
      <c r="IN6" s="1073"/>
      <c r="IO6" s="143">
        <f>IF($A$7=IP6,1,0)</f>
        <v>0</v>
      </c>
      <c r="IP6" s="1072" t="s">
        <v>547</v>
      </c>
      <c r="IQ6" s="1072"/>
      <c r="IR6" s="1072"/>
      <c r="IS6" s="1072"/>
      <c r="IT6" s="1072"/>
      <c r="IU6" s="1072"/>
      <c r="IV6" s="1072"/>
    </row>
    <row r="7" spans="1:256" s="386" customFormat="1" ht="12.75">
      <c r="A7" s="1071" t="str">
        <f>+'Informações Iniciais'!A5:B5</f>
        <v>1º Bimestre de 2017</v>
      </c>
      <c r="B7" s="1071"/>
      <c r="C7" s="1071"/>
      <c r="D7" s="1071"/>
      <c r="E7" s="1071"/>
      <c r="F7" s="1071"/>
      <c r="G7" s="1071"/>
      <c r="H7" s="1071"/>
      <c r="II7" s="1073"/>
      <c r="IJ7" s="1073"/>
      <c r="IK7" s="1073"/>
      <c r="IL7" s="1073"/>
      <c r="IM7" s="1073"/>
      <c r="IN7" s="1073"/>
      <c r="IO7" s="143"/>
      <c r="IP7" s="143"/>
      <c r="IQ7" s="143"/>
      <c r="IR7" s="143"/>
      <c r="IS7" s="143"/>
      <c r="IT7" s="143">
        <f aca="true" t="shared" si="0" ref="IT7:IT12">IF($A$7=IV7,1,0)</f>
        <v>1</v>
      </c>
      <c r="IU7" s="143"/>
      <c r="IV7" s="205" t="s">
        <v>4</v>
      </c>
    </row>
    <row r="8" spans="1:256" s="386" customFormat="1" ht="21.75" customHeight="1">
      <c r="A8" s="1074">
        <f>IF($D$118&lt;&gt;($F$118+$H$118),"HÁ ERRO NO QUADRO DESPESAS COM MDE - VERIFIQUE!!!","")</f>
      </c>
      <c r="B8" s="1074"/>
      <c r="C8" s="1074"/>
      <c r="D8" s="1074"/>
      <c r="E8" s="1074"/>
      <c r="F8" s="1074"/>
      <c r="G8" s="1074"/>
      <c r="H8" s="1074"/>
      <c r="II8" s="1073"/>
      <c r="IJ8" s="1073"/>
      <c r="IK8" s="1073"/>
      <c r="IL8" s="1073"/>
      <c r="IM8" s="1073"/>
      <c r="IN8" s="1073"/>
      <c r="IO8" s="143"/>
      <c r="IP8" s="143"/>
      <c r="IQ8" s="143"/>
      <c r="IR8" s="143"/>
      <c r="IS8" s="143"/>
      <c r="IT8" s="143">
        <f t="shared" si="0"/>
        <v>0</v>
      </c>
      <c r="IU8" s="143"/>
      <c r="IV8" s="205" t="s">
        <v>6</v>
      </c>
    </row>
    <row r="9" spans="1:256" s="386" customFormat="1" ht="12.75">
      <c r="A9" s="325" t="s">
        <v>548</v>
      </c>
      <c r="B9" s="393"/>
      <c r="C9" s="393"/>
      <c r="D9" s="393"/>
      <c r="E9" s="393"/>
      <c r="F9" s="394"/>
      <c r="G9" s="325"/>
      <c r="H9" s="394">
        <v>1</v>
      </c>
      <c r="II9" s="1073"/>
      <c r="IJ9" s="1073"/>
      <c r="IK9" s="1073"/>
      <c r="IL9" s="1073"/>
      <c r="IM9" s="1073"/>
      <c r="IN9" s="1073"/>
      <c r="IO9" s="143"/>
      <c r="IP9" s="143"/>
      <c r="IQ9" s="143"/>
      <c r="IR9" s="143"/>
      <c r="IS9" s="143"/>
      <c r="IT9" s="143">
        <f t="shared" si="0"/>
        <v>0</v>
      </c>
      <c r="IU9" s="143"/>
      <c r="IV9" s="205" t="s">
        <v>7</v>
      </c>
    </row>
    <row r="10" spans="1:256" s="386" customFormat="1" ht="12.75">
      <c r="A10" s="1075" t="s">
        <v>549</v>
      </c>
      <c r="B10" s="1075"/>
      <c r="C10" s="1075"/>
      <c r="D10" s="1075"/>
      <c r="E10" s="1075"/>
      <c r="F10" s="1075"/>
      <c r="G10" s="1075"/>
      <c r="H10" s="1075"/>
      <c r="II10" s="1073"/>
      <c r="IJ10" s="1073"/>
      <c r="IK10" s="1073"/>
      <c r="IL10" s="1073"/>
      <c r="IM10" s="1073"/>
      <c r="IN10" s="1073"/>
      <c r="IO10" s="143"/>
      <c r="IP10" s="143"/>
      <c r="IQ10" s="143"/>
      <c r="IR10" s="143"/>
      <c r="IS10" s="143"/>
      <c r="IT10" s="143">
        <f t="shared" si="0"/>
        <v>0</v>
      </c>
      <c r="IU10" s="143"/>
      <c r="IV10" s="205" t="s">
        <v>9</v>
      </c>
    </row>
    <row r="11" spans="1:256" s="386" customFormat="1" ht="12.75">
      <c r="A11" s="395"/>
      <c r="B11" s="1128" t="s">
        <v>34</v>
      </c>
      <c r="C11" s="1130"/>
      <c r="D11" s="1128" t="s">
        <v>35</v>
      </c>
      <c r="E11" s="1130"/>
      <c r="F11" s="1076" t="s">
        <v>36</v>
      </c>
      <c r="G11" s="1077"/>
      <c r="H11" s="1077"/>
      <c r="II11" s="1073"/>
      <c r="IJ11" s="1073"/>
      <c r="IK11" s="1073"/>
      <c r="IL11" s="1073"/>
      <c r="IM11" s="1073"/>
      <c r="IN11" s="1073"/>
      <c r="IO11" s="143"/>
      <c r="IP11" s="143"/>
      <c r="IQ11" s="143"/>
      <c r="IR11" s="143"/>
      <c r="IS11" s="143"/>
      <c r="IT11" s="143">
        <f t="shared" si="0"/>
        <v>0</v>
      </c>
      <c r="IU11" s="143"/>
      <c r="IV11" s="205" t="s">
        <v>11</v>
      </c>
    </row>
    <row r="12" spans="1:256" s="386" customFormat="1" ht="12.75">
      <c r="A12" s="396" t="s">
        <v>550</v>
      </c>
      <c r="B12" s="1131"/>
      <c r="C12" s="1133"/>
      <c r="D12" s="1131"/>
      <c r="E12" s="1133"/>
      <c r="F12" s="1078" t="s">
        <v>40</v>
      </c>
      <c r="G12" s="1079"/>
      <c r="H12" s="358" t="s">
        <v>39</v>
      </c>
      <c r="II12" s="1073"/>
      <c r="IJ12" s="1073"/>
      <c r="IK12" s="1073"/>
      <c r="IL12" s="1073"/>
      <c r="IM12" s="1073"/>
      <c r="IN12" s="1073"/>
      <c r="IO12" s="143"/>
      <c r="IP12" s="143"/>
      <c r="IQ12" s="143"/>
      <c r="IR12" s="143"/>
      <c r="IS12" s="143"/>
      <c r="IT12" s="143">
        <f t="shared" si="0"/>
        <v>0</v>
      </c>
      <c r="IU12" s="143"/>
      <c r="IV12" s="205" t="s">
        <v>13</v>
      </c>
    </row>
    <row r="13" spans="1:256" s="386" customFormat="1" ht="12.75">
      <c r="A13" s="397"/>
      <c r="B13" s="1134"/>
      <c r="C13" s="1136"/>
      <c r="D13" s="1080" t="s">
        <v>41</v>
      </c>
      <c r="E13" s="1081"/>
      <c r="F13" s="1080" t="s">
        <v>42</v>
      </c>
      <c r="G13" s="1081"/>
      <c r="H13" s="362" t="s">
        <v>551</v>
      </c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>
        <f>SUM(IT7:IT12)+IO6</f>
        <v>1</v>
      </c>
      <c r="IU13" s="143"/>
      <c r="IV13" s="143"/>
    </row>
    <row r="14" spans="1:256" s="386" customFormat="1" ht="12.75">
      <c r="A14" s="398" t="s">
        <v>552</v>
      </c>
      <c r="B14" s="1082">
        <f>B15+B18+B21+B24+B25</f>
        <v>462762.58</v>
      </c>
      <c r="C14" s="1083"/>
      <c r="D14" s="1082">
        <f>D15+D18+D21+D24+D25</f>
        <v>462762.58</v>
      </c>
      <c r="E14" s="1083"/>
      <c r="F14" s="1082">
        <f>F15+F18+F21+F24+F25</f>
        <v>152786.92</v>
      </c>
      <c r="G14" s="1083"/>
      <c r="H14" s="399">
        <f aca="true" t="shared" si="1" ref="H14:H31">IF(D14="",0,IF(D14=0,0,F14/D14))</f>
        <v>0.33016265057559324</v>
      </c>
      <c r="I14" s="414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206" t="s">
        <v>553</v>
      </c>
      <c r="IV14" s="143">
        <f>+'Informações Iniciais'!C23</f>
        <v>0</v>
      </c>
    </row>
    <row r="15" spans="1:8" s="386" customFormat="1" ht="12.75">
      <c r="A15" s="400" t="s">
        <v>554</v>
      </c>
      <c r="B15" s="972">
        <f>+B16+B17</f>
        <v>19500.260000000002</v>
      </c>
      <c r="C15" s="973"/>
      <c r="D15" s="972">
        <f>+D16+D17</f>
        <v>19500.260000000002</v>
      </c>
      <c r="E15" s="973"/>
      <c r="F15" s="972">
        <f>+F16+F17</f>
        <v>0</v>
      </c>
      <c r="G15" s="973"/>
      <c r="H15" s="399">
        <f t="shared" si="1"/>
        <v>0</v>
      </c>
    </row>
    <row r="16" spans="1:8" s="386" customFormat="1" ht="12.75">
      <c r="A16" s="400" t="s">
        <v>555</v>
      </c>
      <c r="B16" s="804">
        <v>9918.75</v>
      </c>
      <c r="C16" s="805"/>
      <c r="D16" s="804">
        <v>9918.75</v>
      </c>
      <c r="E16" s="805"/>
      <c r="F16" s="804"/>
      <c r="G16" s="805"/>
      <c r="H16" s="399">
        <f t="shared" si="1"/>
        <v>0</v>
      </c>
    </row>
    <row r="17" spans="1:8" s="386" customFormat="1" ht="12.75">
      <c r="A17" s="400" t="s">
        <v>556</v>
      </c>
      <c r="B17" s="804">
        <v>9581.51</v>
      </c>
      <c r="C17" s="805"/>
      <c r="D17" s="804">
        <v>9581.51</v>
      </c>
      <c r="E17" s="805"/>
      <c r="F17" s="804"/>
      <c r="G17" s="805"/>
      <c r="H17" s="399">
        <f t="shared" si="1"/>
        <v>0</v>
      </c>
    </row>
    <row r="18" spans="1:8" s="386" customFormat="1" ht="12.75">
      <c r="A18" s="400" t="s">
        <v>557</v>
      </c>
      <c r="B18" s="972">
        <f>+B19+B20</f>
        <v>17192.5</v>
      </c>
      <c r="C18" s="973"/>
      <c r="D18" s="972">
        <f>+D19+D20</f>
        <v>17192.5</v>
      </c>
      <c r="E18" s="973"/>
      <c r="F18" s="972">
        <f>+F19+F20</f>
        <v>0</v>
      </c>
      <c r="G18" s="973"/>
      <c r="H18" s="399">
        <f t="shared" si="1"/>
        <v>0</v>
      </c>
    </row>
    <row r="19" spans="1:8" s="386" customFormat="1" ht="12.75">
      <c r="A19" s="400" t="s">
        <v>558</v>
      </c>
      <c r="B19" s="804">
        <v>17192.5</v>
      </c>
      <c r="C19" s="805"/>
      <c r="D19" s="804">
        <v>17192.5</v>
      </c>
      <c r="E19" s="805"/>
      <c r="F19" s="804"/>
      <c r="G19" s="805"/>
      <c r="H19" s="399">
        <f t="shared" si="1"/>
        <v>0</v>
      </c>
    </row>
    <row r="20" spans="1:8" s="386" customFormat="1" ht="12.75">
      <c r="A20" s="400" t="s">
        <v>559</v>
      </c>
      <c r="B20" s="804"/>
      <c r="C20" s="805"/>
      <c r="D20" s="804"/>
      <c r="E20" s="805"/>
      <c r="F20" s="804"/>
      <c r="G20" s="805"/>
      <c r="H20" s="399">
        <f t="shared" si="1"/>
        <v>0</v>
      </c>
    </row>
    <row r="21" spans="1:8" s="386" customFormat="1" ht="12.75">
      <c r="A21" s="400" t="s">
        <v>560</v>
      </c>
      <c r="B21" s="972">
        <f>+B22+B23</f>
        <v>300829.07</v>
      </c>
      <c r="C21" s="973"/>
      <c r="D21" s="972">
        <f>+D22+D23</f>
        <v>300829.07</v>
      </c>
      <c r="E21" s="973"/>
      <c r="F21" s="972">
        <f>+F22+F23</f>
        <v>152786.92</v>
      </c>
      <c r="G21" s="973"/>
      <c r="H21" s="399">
        <f t="shared" si="1"/>
        <v>0.5078861560819239</v>
      </c>
    </row>
    <row r="22" spans="1:8" s="386" customFormat="1" ht="12.75">
      <c r="A22" s="400" t="s">
        <v>561</v>
      </c>
      <c r="B22" s="804">
        <v>300829.07</v>
      </c>
      <c r="C22" s="805"/>
      <c r="D22" s="804">
        <v>300829.07</v>
      </c>
      <c r="E22" s="805"/>
      <c r="F22" s="804">
        <v>152786.92</v>
      </c>
      <c r="G22" s="805"/>
      <c r="H22" s="399">
        <f t="shared" si="1"/>
        <v>0.5078861560819239</v>
      </c>
    </row>
    <row r="23" spans="1:8" s="386" customFormat="1" ht="12.75">
      <c r="A23" s="400" t="s">
        <v>562</v>
      </c>
      <c r="B23" s="804"/>
      <c r="C23" s="805"/>
      <c r="D23" s="804"/>
      <c r="E23" s="805"/>
      <c r="F23" s="804"/>
      <c r="G23" s="805"/>
      <c r="H23" s="399">
        <f t="shared" si="1"/>
        <v>0</v>
      </c>
    </row>
    <row r="24" spans="1:8" s="386" customFormat="1" ht="12.75">
      <c r="A24" s="398" t="s">
        <v>563</v>
      </c>
      <c r="B24" s="804">
        <v>118496</v>
      </c>
      <c r="C24" s="805"/>
      <c r="D24" s="804">
        <v>118496</v>
      </c>
      <c r="E24" s="805"/>
      <c r="F24" s="804"/>
      <c r="G24" s="805"/>
      <c r="H24" s="399">
        <f t="shared" si="1"/>
        <v>0</v>
      </c>
    </row>
    <row r="25" spans="1:8" s="386" customFormat="1" ht="12.75">
      <c r="A25" s="398" t="s">
        <v>564</v>
      </c>
      <c r="B25" s="972">
        <f>+B26+B27</f>
        <v>6744.75</v>
      </c>
      <c r="C25" s="973"/>
      <c r="D25" s="972">
        <f>+D26+D27</f>
        <v>6744.75</v>
      </c>
      <c r="E25" s="973"/>
      <c r="F25" s="972">
        <f>+F26+F27</f>
        <v>0</v>
      </c>
      <c r="G25" s="973"/>
      <c r="H25" s="399">
        <f t="shared" si="1"/>
        <v>0</v>
      </c>
    </row>
    <row r="26" spans="1:8" s="386" customFormat="1" ht="12.75">
      <c r="A26" s="400" t="s">
        <v>565</v>
      </c>
      <c r="B26" s="804">
        <v>6744.75</v>
      </c>
      <c r="C26" s="805"/>
      <c r="D26" s="804">
        <v>6744.75</v>
      </c>
      <c r="E26" s="805"/>
      <c r="F26" s="804"/>
      <c r="G26" s="805"/>
      <c r="H26" s="399">
        <f t="shared" si="1"/>
        <v>0</v>
      </c>
    </row>
    <row r="27" spans="1:8" s="386" customFormat="1" ht="12.75">
      <c r="A27" s="404" t="s">
        <v>566</v>
      </c>
      <c r="B27" s="804"/>
      <c r="C27" s="805"/>
      <c r="D27" s="804"/>
      <c r="E27" s="805"/>
      <c r="F27" s="804"/>
      <c r="G27" s="805"/>
      <c r="H27" s="399">
        <f t="shared" si="1"/>
        <v>0</v>
      </c>
    </row>
    <row r="28" spans="1:9" s="386" customFormat="1" ht="12.75">
      <c r="A28" s="398" t="s">
        <v>567</v>
      </c>
      <c r="B28" s="1082">
        <f>SUM(B29,B32:C37)</f>
        <v>9577690.49</v>
      </c>
      <c r="C28" s="1083"/>
      <c r="D28" s="1082">
        <f>SUM(D29,D32:E37)</f>
        <v>9577690.49</v>
      </c>
      <c r="E28" s="1083"/>
      <c r="F28" s="1082">
        <f>SUM(F29,F32:G37)</f>
        <v>2086384.5800000003</v>
      </c>
      <c r="G28" s="1083"/>
      <c r="H28" s="399">
        <f t="shared" si="1"/>
        <v>0.21783796231235283</v>
      </c>
      <c r="I28" s="415"/>
    </row>
    <row r="29" spans="1:8" s="386" customFormat="1" ht="12.75">
      <c r="A29" s="398" t="s">
        <v>568</v>
      </c>
      <c r="B29" s="972">
        <f>SUM(B30:B31)</f>
        <v>8762435.35</v>
      </c>
      <c r="C29" s="973"/>
      <c r="D29" s="972">
        <f>SUM(D30:D31)</f>
        <v>8762435.35</v>
      </c>
      <c r="E29" s="973"/>
      <c r="F29" s="972">
        <f>SUM(F30:F31)</f>
        <v>1729165.06</v>
      </c>
      <c r="G29" s="973"/>
      <c r="H29" s="399">
        <f t="shared" si="1"/>
        <v>0.197338410034603</v>
      </c>
    </row>
    <row r="30" spans="1:8" s="386" customFormat="1" ht="12.75">
      <c r="A30" s="398" t="s">
        <v>569</v>
      </c>
      <c r="B30" s="804">
        <v>8762435.35</v>
      </c>
      <c r="C30" s="805"/>
      <c r="D30" s="804">
        <v>8762435.35</v>
      </c>
      <c r="E30" s="805"/>
      <c r="F30" s="804">
        <v>1729165.06</v>
      </c>
      <c r="G30" s="805"/>
      <c r="H30" s="399">
        <f t="shared" si="1"/>
        <v>0.197338410034603</v>
      </c>
    </row>
    <row r="31" spans="1:8" s="386" customFormat="1" ht="12.75">
      <c r="A31" s="398" t="s">
        <v>570</v>
      </c>
      <c r="B31" s="804"/>
      <c r="C31" s="805"/>
      <c r="D31" s="804"/>
      <c r="E31" s="805"/>
      <c r="F31" s="804"/>
      <c r="G31" s="805"/>
      <c r="H31" s="399">
        <f t="shared" si="1"/>
        <v>0</v>
      </c>
    </row>
    <row r="32" spans="1:8" s="386" customFormat="1" ht="12.75">
      <c r="A32" s="398" t="s">
        <v>571</v>
      </c>
      <c r="B32" s="804">
        <v>593736.39</v>
      </c>
      <c r="C32" s="805"/>
      <c r="D32" s="804">
        <v>593736.39</v>
      </c>
      <c r="E32" s="805"/>
      <c r="F32" s="804">
        <v>294664.12</v>
      </c>
      <c r="G32" s="805"/>
      <c r="H32" s="399">
        <f aca="true" t="shared" si="2" ref="H32:H38">IF(D32="",0,IF(D32=0,0,F32/D32))</f>
        <v>0.4962877885925099</v>
      </c>
    </row>
    <row r="33" spans="1:8" s="386" customFormat="1" ht="12.75">
      <c r="A33" s="398" t="s">
        <v>572</v>
      </c>
      <c r="B33" s="804">
        <v>82920.75</v>
      </c>
      <c r="C33" s="805"/>
      <c r="D33" s="804">
        <v>82920.75</v>
      </c>
      <c r="E33" s="805"/>
      <c r="F33" s="804">
        <v>3344.6</v>
      </c>
      <c r="G33" s="805"/>
      <c r="H33" s="399">
        <f t="shared" si="2"/>
        <v>0.04033489808039604</v>
      </c>
    </row>
    <row r="34" spans="1:8" s="386" customFormat="1" ht="12.75">
      <c r="A34" s="398" t="s">
        <v>573</v>
      </c>
      <c r="B34" s="804">
        <v>36368.75</v>
      </c>
      <c r="C34" s="805"/>
      <c r="D34" s="804">
        <v>36368.75</v>
      </c>
      <c r="E34" s="805"/>
      <c r="F34" s="804">
        <v>2710.71</v>
      </c>
      <c r="G34" s="805"/>
      <c r="H34" s="399">
        <f t="shared" si="2"/>
        <v>0.07453404365011171</v>
      </c>
    </row>
    <row r="35" spans="1:8" s="386" customFormat="1" ht="12.75">
      <c r="A35" s="398" t="s">
        <v>574</v>
      </c>
      <c r="B35" s="804">
        <v>10976.75</v>
      </c>
      <c r="C35" s="805"/>
      <c r="D35" s="804">
        <v>10976.75</v>
      </c>
      <c r="E35" s="805"/>
      <c r="F35" s="804"/>
      <c r="G35" s="805"/>
      <c r="H35" s="399">
        <f t="shared" si="2"/>
        <v>0</v>
      </c>
    </row>
    <row r="36" spans="1:8" s="386" customFormat="1" ht="12.75">
      <c r="A36" s="398" t="s">
        <v>575</v>
      </c>
      <c r="B36" s="804">
        <v>91252.5</v>
      </c>
      <c r="C36" s="805"/>
      <c r="D36" s="804">
        <v>91252.5</v>
      </c>
      <c r="E36" s="805"/>
      <c r="F36" s="804">
        <v>56500.09</v>
      </c>
      <c r="G36" s="805"/>
      <c r="H36" s="399">
        <f t="shared" si="2"/>
        <v>0.6191621051478041</v>
      </c>
    </row>
    <row r="37" spans="1:8" s="386" customFormat="1" ht="12.75">
      <c r="A37" s="398" t="s">
        <v>576</v>
      </c>
      <c r="B37" s="804"/>
      <c r="C37" s="805"/>
      <c r="D37" s="804"/>
      <c r="E37" s="805"/>
      <c r="F37" s="804"/>
      <c r="G37" s="805"/>
      <c r="H37" s="399">
        <f t="shared" si="2"/>
        <v>0</v>
      </c>
    </row>
    <row r="38" spans="1:9" s="386" customFormat="1" ht="12.75">
      <c r="A38" s="405" t="s">
        <v>577</v>
      </c>
      <c r="B38" s="1084">
        <f>B14+B28</f>
        <v>10040453.07</v>
      </c>
      <c r="C38" s="1085"/>
      <c r="D38" s="1084">
        <f>D14+D28</f>
        <v>10040453.07</v>
      </c>
      <c r="E38" s="1085"/>
      <c r="F38" s="1084">
        <f>F14+F28</f>
        <v>2239171.5000000005</v>
      </c>
      <c r="G38" s="1085"/>
      <c r="H38" s="406">
        <f t="shared" si="2"/>
        <v>0.22301498591636765</v>
      </c>
      <c r="I38" s="415"/>
    </row>
    <row r="39" spans="1:8" s="386" customFormat="1" ht="12.75">
      <c r="A39" s="407"/>
      <c r="B39" s="1128" t="s">
        <v>34</v>
      </c>
      <c r="C39" s="1130"/>
      <c r="D39" s="1128" t="s">
        <v>35</v>
      </c>
      <c r="E39" s="1130"/>
      <c r="F39" s="1076" t="s">
        <v>36</v>
      </c>
      <c r="G39" s="1077"/>
      <c r="H39" s="1077"/>
    </row>
    <row r="40" spans="1:8" s="386" customFormat="1" ht="12.75">
      <c r="A40" s="408" t="s">
        <v>578</v>
      </c>
      <c r="B40" s="1131"/>
      <c r="C40" s="1133"/>
      <c r="D40" s="1131"/>
      <c r="E40" s="1133"/>
      <c r="F40" s="1078" t="s">
        <v>40</v>
      </c>
      <c r="G40" s="1079"/>
      <c r="H40" s="358" t="s">
        <v>39</v>
      </c>
    </row>
    <row r="41" spans="1:8" s="386" customFormat="1" ht="12.75">
      <c r="A41" s="397"/>
      <c r="B41" s="1134"/>
      <c r="C41" s="1136"/>
      <c r="D41" s="1080" t="s">
        <v>41</v>
      </c>
      <c r="E41" s="1081"/>
      <c r="F41" s="1080" t="s">
        <v>42</v>
      </c>
      <c r="G41" s="1081"/>
      <c r="H41" s="362" t="s">
        <v>551</v>
      </c>
    </row>
    <row r="42" spans="1:9" s="386" customFormat="1" ht="25.5">
      <c r="A42" s="398" t="s">
        <v>579</v>
      </c>
      <c r="B42" s="806"/>
      <c r="C42" s="807"/>
      <c r="D42" s="806"/>
      <c r="E42" s="807"/>
      <c r="F42" s="806"/>
      <c r="G42" s="807"/>
      <c r="H42" s="399">
        <f aca="true" t="shared" si="3" ref="H42:H55">IF(D42="",0,IF(D42=0,0,F42/D42))</f>
        <v>0</v>
      </c>
      <c r="I42" s="416"/>
    </row>
    <row r="43" spans="1:9" s="386" customFormat="1" ht="12.75">
      <c r="A43" s="398" t="s">
        <v>580</v>
      </c>
      <c r="B43" s="972">
        <f>SUM(B44:C49)</f>
        <v>1627660.27</v>
      </c>
      <c r="C43" s="973"/>
      <c r="D43" s="972">
        <f>SUM(D44:E49)</f>
        <v>1627660.27</v>
      </c>
      <c r="E43" s="973"/>
      <c r="F43" s="972">
        <f>SUM(F44:G49)</f>
        <v>38905.7</v>
      </c>
      <c r="G43" s="973"/>
      <c r="H43" s="399">
        <f t="shared" si="3"/>
        <v>0.02390283815184602</v>
      </c>
      <c r="I43" s="416"/>
    </row>
    <row r="44" spans="1:9" s="386" customFormat="1" ht="12.75">
      <c r="A44" s="398" t="s">
        <v>581</v>
      </c>
      <c r="B44" s="804">
        <v>235147.11</v>
      </c>
      <c r="C44" s="805"/>
      <c r="D44" s="804">
        <v>235147.11</v>
      </c>
      <c r="E44" s="805"/>
      <c r="F44" s="804">
        <v>38905.7</v>
      </c>
      <c r="G44" s="805"/>
      <c r="H44" s="399">
        <f t="shared" si="3"/>
        <v>0.1654525968871146</v>
      </c>
      <c r="I44" s="416"/>
    </row>
    <row r="45" spans="1:9" s="386" customFormat="1" ht="12.75">
      <c r="A45" s="409" t="s">
        <v>582</v>
      </c>
      <c r="B45" s="804"/>
      <c r="C45" s="805"/>
      <c r="D45" s="804"/>
      <c r="E45" s="805"/>
      <c r="F45" s="804"/>
      <c r="G45" s="805"/>
      <c r="H45" s="399">
        <f t="shared" si="3"/>
        <v>0</v>
      </c>
      <c r="I45" s="416"/>
    </row>
    <row r="46" spans="1:9" s="386" customFormat="1" ht="12.75">
      <c r="A46" s="409" t="s">
        <v>583</v>
      </c>
      <c r="B46" s="804"/>
      <c r="C46" s="805"/>
      <c r="D46" s="804"/>
      <c r="E46" s="805"/>
      <c r="F46" s="804"/>
      <c r="G46" s="805"/>
      <c r="H46" s="399">
        <f t="shared" si="3"/>
        <v>0</v>
      </c>
      <c r="I46" s="416"/>
    </row>
    <row r="47" spans="1:9" s="386" customFormat="1" ht="12.75">
      <c r="A47" s="409" t="s">
        <v>584</v>
      </c>
      <c r="B47" s="804"/>
      <c r="C47" s="805"/>
      <c r="D47" s="804"/>
      <c r="E47" s="805"/>
      <c r="F47" s="804"/>
      <c r="G47" s="805"/>
      <c r="H47" s="399">
        <f t="shared" si="3"/>
        <v>0</v>
      </c>
      <c r="I47" s="416"/>
    </row>
    <row r="48" spans="1:9" s="386" customFormat="1" ht="12.75">
      <c r="A48" s="398" t="s">
        <v>585</v>
      </c>
      <c r="B48" s="804">
        <v>1392513.16</v>
      </c>
      <c r="C48" s="805"/>
      <c r="D48" s="804">
        <v>1392513.16</v>
      </c>
      <c r="E48" s="805"/>
      <c r="F48" s="804"/>
      <c r="G48" s="805"/>
      <c r="H48" s="399">
        <f t="shared" si="3"/>
        <v>0</v>
      </c>
      <c r="I48" s="416"/>
    </row>
    <row r="49" spans="1:9" s="386" customFormat="1" ht="12.75">
      <c r="A49" s="398" t="s">
        <v>586</v>
      </c>
      <c r="B49" s="804"/>
      <c r="C49" s="805"/>
      <c r="D49" s="804"/>
      <c r="E49" s="805"/>
      <c r="F49" s="804"/>
      <c r="G49" s="805"/>
      <c r="H49" s="399">
        <f t="shared" si="3"/>
        <v>0</v>
      </c>
      <c r="I49" s="416"/>
    </row>
    <row r="50" spans="1:9" s="386" customFormat="1" ht="12.75">
      <c r="A50" s="398" t="s">
        <v>587</v>
      </c>
      <c r="B50" s="972">
        <f>B51+B52</f>
        <v>1257450.82</v>
      </c>
      <c r="C50" s="973"/>
      <c r="D50" s="972">
        <f>D51+D52</f>
        <v>1257450.82</v>
      </c>
      <c r="E50" s="973"/>
      <c r="F50" s="972">
        <f>F51+F52</f>
        <v>0</v>
      </c>
      <c r="G50" s="973"/>
      <c r="H50" s="399">
        <f t="shared" si="3"/>
        <v>0</v>
      </c>
      <c r="I50" s="416"/>
    </row>
    <row r="51" spans="1:8" s="386" customFormat="1" ht="12.75">
      <c r="A51" s="410" t="s">
        <v>588</v>
      </c>
      <c r="B51" s="804">
        <v>1250516.32</v>
      </c>
      <c r="C51" s="805"/>
      <c r="D51" s="804">
        <v>1250516.32</v>
      </c>
      <c r="E51" s="805"/>
      <c r="F51" s="804"/>
      <c r="G51" s="805"/>
      <c r="H51" s="399">
        <f t="shared" si="3"/>
        <v>0</v>
      </c>
    </row>
    <row r="52" spans="1:8" s="386" customFormat="1" ht="12.75">
      <c r="A52" s="411" t="s">
        <v>589</v>
      </c>
      <c r="B52" s="804">
        <v>6934.5</v>
      </c>
      <c r="C52" s="805"/>
      <c r="D52" s="804">
        <v>6934.5</v>
      </c>
      <c r="E52" s="805"/>
      <c r="F52" s="804"/>
      <c r="G52" s="805"/>
      <c r="H52" s="399">
        <f t="shared" si="3"/>
        <v>0</v>
      </c>
    </row>
    <row r="53" spans="1:8" s="386" customFormat="1" ht="12.75">
      <c r="A53" s="398" t="s">
        <v>590</v>
      </c>
      <c r="B53" s="804"/>
      <c r="C53" s="805"/>
      <c r="D53" s="804"/>
      <c r="E53" s="805"/>
      <c r="F53" s="804"/>
      <c r="G53" s="805"/>
      <c r="H53" s="399">
        <f t="shared" si="3"/>
        <v>0</v>
      </c>
    </row>
    <row r="54" spans="1:8" s="386" customFormat="1" ht="12.75">
      <c r="A54" s="398" t="s">
        <v>591</v>
      </c>
      <c r="B54" s="804"/>
      <c r="C54" s="805"/>
      <c r="D54" s="804"/>
      <c r="E54" s="805"/>
      <c r="F54" s="804"/>
      <c r="G54" s="805"/>
      <c r="H54" s="399">
        <f t="shared" si="3"/>
        <v>0</v>
      </c>
    </row>
    <row r="55" spans="1:9" s="386" customFormat="1" ht="15" customHeight="1">
      <c r="A55" s="405" t="s">
        <v>592</v>
      </c>
      <c r="B55" s="1084">
        <f>SUM(B42,B43,B50,B53:C54)</f>
        <v>2885111.09</v>
      </c>
      <c r="C55" s="1085"/>
      <c r="D55" s="1084">
        <f>SUM(D42,D43,D50,D53:E54)</f>
        <v>2885111.09</v>
      </c>
      <c r="E55" s="1085"/>
      <c r="F55" s="1084">
        <f>SUM(F42,F43,F50,F53:G54)</f>
        <v>38905.7</v>
      </c>
      <c r="G55" s="1085"/>
      <c r="H55" s="406">
        <f t="shared" si="3"/>
        <v>0.013484992011174169</v>
      </c>
      <c r="I55" s="415"/>
    </row>
    <row r="56" spans="1:8" s="386" customFormat="1" ht="12.75">
      <c r="A56" s="1075" t="s">
        <v>593</v>
      </c>
      <c r="B56" s="1075"/>
      <c r="C56" s="1075"/>
      <c r="D56" s="1075"/>
      <c r="E56" s="1075"/>
      <c r="F56" s="1075"/>
      <c r="G56" s="1075"/>
      <c r="H56" s="1075"/>
    </row>
    <row r="57" spans="1:8" s="386" customFormat="1" ht="12.75">
      <c r="A57" s="407"/>
      <c r="B57" s="1128" t="s">
        <v>34</v>
      </c>
      <c r="C57" s="1130"/>
      <c r="D57" s="1078" t="s">
        <v>594</v>
      </c>
      <c r="E57" s="1079"/>
      <c r="F57" s="1076" t="s">
        <v>36</v>
      </c>
      <c r="G57" s="1077"/>
      <c r="H57" s="1077"/>
    </row>
    <row r="58" spans="1:8" s="386" customFormat="1" ht="12.75">
      <c r="A58" s="408" t="s">
        <v>595</v>
      </c>
      <c r="B58" s="1131"/>
      <c r="C58" s="1133"/>
      <c r="D58" s="1086" t="s">
        <v>172</v>
      </c>
      <c r="E58" s="1087"/>
      <c r="F58" s="1078" t="s">
        <v>40</v>
      </c>
      <c r="G58" s="1079"/>
      <c r="H58" s="358" t="s">
        <v>39</v>
      </c>
    </row>
    <row r="59" spans="1:8" s="386" customFormat="1" ht="12.75">
      <c r="A59" s="412"/>
      <c r="B59" s="1134"/>
      <c r="C59" s="1136"/>
      <c r="D59" s="1080" t="s">
        <v>41</v>
      </c>
      <c r="E59" s="1081"/>
      <c r="F59" s="1080" t="s">
        <v>42</v>
      </c>
      <c r="G59" s="1081"/>
      <c r="H59" s="362" t="s">
        <v>551</v>
      </c>
    </row>
    <row r="60" spans="1:8" s="386" customFormat="1" ht="12.75">
      <c r="A60" s="413" t="s">
        <v>596</v>
      </c>
      <c r="B60" s="972">
        <f>SUM(B61:C66)</f>
        <v>1916887.05</v>
      </c>
      <c r="C60" s="973"/>
      <c r="D60" s="972">
        <f>SUM(D61:E66)</f>
        <v>1916887.05</v>
      </c>
      <c r="E60" s="973"/>
      <c r="F60" s="972">
        <f>SUM(F61:G66)</f>
        <v>417276.91000000003</v>
      </c>
      <c r="G60" s="973"/>
      <c r="H60" s="399">
        <f aca="true" t="shared" si="4" ref="H60:H71">IF(D60="",0,IF(D60=0,0,F60/D60))</f>
        <v>0.21768466222357755</v>
      </c>
    </row>
    <row r="61" spans="1:8" s="386" customFormat="1" ht="12.75">
      <c r="A61" s="398" t="s">
        <v>597</v>
      </c>
      <c r="B61" s="804">
        <v>1752487.07</v>
      </c>
      <c r="C61" s="805"/>
      <c r="D61" s="804">
        <v>1752487.07</v>
      </c>
      <c r="E61" s="805"/>
      <c r="F61" s="804">
        <v>345833.01</v>
      </c>
      <c r="G61" s="805"/>
      <c r="H61" s="399">
        <f t="shared" si="4"/>
        <v>0.19733840889336776</v>
      </c>
    </row>
    <row r="62" spans="1:8" s="386" customFormat="1" ht="12.75">
      <c r="A62" s="398" t="s">
        <v>598</v>
      </c>
      <c r="B62" s="804">
        <v>118747.28</v>
      </c>
      <c r="C62" s="805"/>
      <c r="D62" s="804">
        <v>118747.28</v>
      </c>
      <c r="E62" s="805"/>
      <c r="F62" s="804">
        <v>58932.82</v>
      </c>
      <c r="G62" s="805"/>
      <c r="H62" s="399">
        <f t="shared" si="4"/>
        <v>0.49628774654880514</v>
      </c>
    </row>
    <row r="63" spans="1:8" s="386" customFormat="1" ht="12.75">
      <c r="A63" s="398" t="s">
        <v>599</v>
      </c>
      <c r="B63" s="804">
        <v>16584.15</v>
      </c>
      <c r="C63" s="805"/>
      <c r="D63" s="804">
        <v>16584.15</v>
      </c>
      <c r="E63" s="805"/>
      <c r="F63" s="804">
        <v>668.92</v>
      </c>
      <c r="G63" s="805"/>
      <c r="H63" s="399">
        <f t="shared" si="4"/>
        <v>0.04033489808039604</v>
      </c>
    </row>
    <row r="64" spans="1:8" s="386" customFormat="1" ht="12.75">
      <c r="A64" s="398" t="s">
        <v>600</v>
      </c>
      <c r="B64" s="804">
        <v>7273.75</v>
      </c>
      <c r="C64" s="805"/>
      <c r="D64" s="804">
        <v>7273.75</v>
      </c>
      <c r="E64" s="805"/>
      <c r="F64" s="804">
        <v>542.14</v>
      </c>
      <c r="G64" s="805"/>
      <c r="H64" s="399">
        <f t="shared" si="4"/>
        <v>0.07453376868877813</v>
      </c>
    </row>
    <row r="65" spans="1:8" s="386" customFormat="1" ht="11.25" customHeight="1">
      <c r="A65" s="398" t="s">
        <v>601</v>
      </c>
      <c r="B65" s="804">
        <v>3544.3</v>
      </c>
      <c r="C65" s="805"/>
      <c r="D65" s="804">
        <v>3544.3</v>
      </c>
      <c r="E65" s="805"/>
      <c r="F65" s="804"/>
      <c r="G65" s="805"/>
      <c r="H65" s="399">
        <f t="shared" si="4"/>
        <v>0</v>
      </c>
    </row>
    <row r="66" spans="1:8" s="386" customFormat="1" ht="12.75">
      <c r="A66" s="398" t="s">
        <v>602</v>
      </c>
      <c r="B66" s="804">
        <v>18250.5</v>
      </c>
      <c r="C66" s="805"/>
      <c r="D66" s="804">
        <v>18250.5</v>
      </c>
      <c r="E66" s="805"/>
      <c r="F66" s="804">
        <v>11300.02</v>
      </c>
      <c r="G66" s="805"/>
      <c r="H66" s="399">
        <f t="shared" si="4"/>
        <v>0.6191622147338429</v>
      </c>
    </row>
    <row r="67" spans="1:9" s="386" customFormat="1" ht="12.75">
      <c r="A67" s="398" t="s">
        <v>603</v>
      </c>
      <c r="B67" s="972">
        <f>SUM(B68:C70)</f>
        <v>17591630.5</v>
      </c>
      <c r="C67" s="973"/>
      <c r="D67" s="972">
        <f>SUM(D68:E70)</f>
        <v>17591630.5</v>
      </c>
      <c r="E67" s="973"/>
      <c r="F67" s="972">
        <f>SUM(F68:G70)</f>
        <v>2313656.69</v>
      </c>
      <c r="G67" s="973"/>
      <c r="H67" s="399">
        <f t="shared" si="4"/>
        <v>0.13152030961541625</v>
      </c>
      <c r="I67" s="416"/>
    </row>
    <row r="68" spans="1:8" s="386" customFormat="1" ht="12.75">
      <c r="A68" s="398" t="s">
        <v>604</v>
      </c>
      <c r="B68" s="804">
        <v>9918750</v>
      </c>
      <c r="C68" s="805"/>
      <c r="D68" s="804">
        <v>9918750</v>
      </c>
      <c r="E68" s="805"/>
      <c r="F68" s="804">
        <v>1014185.56</v>
      </c>
      <c r="G68" s="805"/>
      <c r="H68" s="399">
        <f t="shared" si="4"/>
        <v>0.10224933182104601</v>
      </c>
    </row>
    <row r="69" spans="1:8" s="386" customFormat="1" ht="12.75">
      <c r="A69" s="398" t="s">
        <v>605</v>
      </c>
      <c r="B69" s="804">
        <v>7670500</v>
      </c>
      <c r="C69" s="805"/>
      <c r="D69" s="804">
        <v>7670500</v>
      </c>
      <c r="E69" s="805"/>
      <c r="F69" s="804">
        <v>1295237.56</v>
      </c>
      <c r="G69" s="805"/>
      <c r="H69" s="399">
        <f t="shared" si="4"/>
        <v>0.16885959976533474</v>
      </c>
    </row>
    <row r="70" spans="1:8" s="386" customFormat="1" ht="12.75">
      <c r="A70" s="398" t="s">
        <v>606</v>
      </c>
      <c r="B70" s="804">
        <v>2380.5</v>
      </c>
      <c r="C70" s="805"/>
      <c r="D70" s="804">
        <v>2380.5</v>
      </c>
      <c r="E70" s="805"/>
      <c r="F70" s="804">
        <v>4233.57</v>
      </c>
      <c r="G70" s="805"/>
      <c r="H70" s="399">
        <f t="shared" si="4"/>
        <v>1.7784373030875866</v>
      </c>
    </row>
    <row r="71" spans="1:8" s="386" customFormat="1" ht="12.75">
      <c r="A71" s="405" t="s">
        <v>607</v>
      </c>
      <c r="B71" s="1084">
        <f>B68-B60</f>
        <v>8001862.95</v>
      </c>
      <c r="C71" s="1085"/>
      <c r="D71" s="1084">
        <f>D68-D60</f>
        <v>8001862.95</v>
      </c>
      <c r="E71" s="1085"/>
      <c r="F71" s="1084">
        <f>F68-F60</f>
        <v>596908.65</v>
      </c>
      <c r="G71" s="1085"/>
      <c r="H71" s="417">
        <f t="shared" si="4"/>
        <v>0.07459621012379374</v>
      </c>
    </row>
    <row r="72" spans="1:12" s="386" customFormat="1" ht="12.75" customHeight="1">
      <c r="A72" s="1088" t="s">
        <v>608</v>
      </c>
      <c r="B72" s="1088"/>
      <c r="C72" s="1088"/>
      <c r="D72" s="1088"/>
      <c r="E72" s="1089"/>
      <c r="F72" s="1090">
        <f>IF(F71&gt;0,F71,0)</f>
        <v>596908.65</v>
      </c>
      <c r="G72" s="1090"/>
      <c r="H72" s="1180"/>
      <c r="I72" s="457"/>
      <c r="J72" s="457"/>
      <c r="K72" s="457"/>
      <c r="L72" s="415"/>
    </row>
    <row r="73" spans="1:12" s="386" customFormat="1" ht="12.75" customHeight="1">
      <c r="A73" s="1091" t="s">
        <v>609</v>
      </c>
      <c r="B73" s="1091"/>
      <c r="C73" s="1091"/>
      <c r="D73" s="1091"/>
      <c r="E73" s="1091"/>
      <c r="F73" s="1090">
        <f>IF(F71&lt;0,F71,0)</f>
        <v>0</v>
      </c>
      <c r="G73" s="1090"/>
      <c r="H73" s="1181"/>
      <c r="I73" s="458"/>
      <c r="J73" s="458"/>
      <c r="K73" s="458"/>
      <c r="L73" s="415"/>
    </row>
    <row r="74" spans="1:12" s="386" customFormat="1" ht="44.25" customHeight="1">
      <c r="A74" s="1130" t="s">
        <v>610</v>
      </c>
      <c r="B74" s="1126" t="s">
        <v>119</v>
      </c>
      <c r="C74" s="1126" t="s">
        <v>120</v>
      </c>
      <c r="D74" s="1092" t="s">
        <v>121</v>
      </c>
      <c r="E74" s="1093"/>
      <c r="F74" s="1092" t="s">
        <v>122</v>
      </c>
      <c r="G74" s="1094"/>
      <c r="H74" s="1182" t="s">
        <v>611</v>
      </c>
      <c r="I74" s="459"/>
      <c r="J74" s="460"/>
      <c r="K74" s="461"/>
      <c r="L74" s="415"/>
    </row>
    <row r="75" spans="1:12" s="386" customFormat="1" ht="12.75">
      <c r="A75" s="1133"/>
      <c r="B75" s="1127"/>
      <c r="C75" s="1127"/>
      <c r="D75" s="357" t="s">
        <v>40</v>
      </c>
      <c r="E75" s="358" t="s">
        <v>39</v>
      </c>
      <c r="F75" s="357" t="s">
        <v>40</v>
      </c>
      <c r="G75" s="358" t="s">
        <v>39</v>
      </c>
      <c r="H75" s="1183"/>
      <c r="I75" s="461"/>
      <c r="J75" s="461"/>
      <c r="K75" s="415"/>
      <c r="L75" s="415"/>
    </row>
    <row r="76" spans="1:12" s="386" customFormat="1" ht="12.75">
      <c r="A76" s="1136"/>
      <c r="B76" s="1127"/>
      <c r="C76" s="418" t="s">
        <v>126</v>
      </c>
      <c r="D76" s="418" t="s">
        <v>127</v>
      </c>
      <c r="E76" s="408" t="s">
        <v>612</v>
      </c>
      <c r="F76" s="418" t="s">
        <v>613</v>
      </c>
      <c r="G76" s="408" t="s">
        <v>614</v>
      </c>
      <c r="H76" s="363" t="s">
        <v>615</v>
      </c>
      <c r="I76" s="461"/>
      <c r="J76" s="461"/>
      <c r="K76" s="461"/>
      <c r="L76" s="415"/>
    </row>
    <row r="77" spans="1:8" s="386" customFormat="1" ht="12.75">
      <c r="A77" s="419" t="s">
        <v>616</v>
      </c>
      <c r="B77" s="420">
        <f>SUM(B78:B79)</f>
        <v>10164850.04</v>
      </c>
      <c r="C77" s="420">
        <f aca="true" t="shared" si="5" ref="C77:H77">SUM(C78:C79)</f>
        <v>10164850.04</v>
      </c>
      <c r="D77" s="420">
        <f t="shared" si="5"/>
        <v>1616735.19</v>
      </c>
      <c r="E77" s="421">
        <f>IF($C77="",0,IF($C77=0,0,D77/$C77))</f>
        <v>0.1590515535042758</v>
      </c>
      <c r="F77" s="420">
        <f t="shared" si="5"/>
        <v>1616735.19</v>
      </c>
      <c r="G77" s="421">
        <f>IF($C77="",0,IF($C77=0,0,F77/$C77))</f>
        <v>0.1590515535042758</v>
      </c>
      <c r="H77" s="422">
        <f t="shared" si="5"/>
        <v>0</v>
      </c>
    </row>
    <row r="78" spans="1:8" s="386" customFormat="1" ht="12.75">
      <c r="A78" s="328" t="s">
        <v>617</v>
      </c>
      <c r="B78" s="423"/>
      <c r="C78" s="423"/>
      <c r="D78" s="423"/>
      <c r="E78" s="184">
        <f aca="true" t="shared" si="6" ref="E78:E83">IF($C78="",0,IF($C78=0,0,D78/$C78))</f>
        <v>0</v>
      </c>
      <c r="F78" s="423"/>
      <c r="G78" s="184">
        <f aca="true" t="shared" si="7" ref="G78:G83">IF($C78="",0,IF($C78=0,0,F78/$C78))</f>
        <v>0</v>
      </c>
      <c r="H78" s="376"/>
    </row>
    <row r="79" spans="1:8" s="386" customFormat="1" ht="12.75">
      <c r="A79" s="328" t="s">
        <v>618</v>
      </c>
      <c r="B79" s="423">
        <v>10164850.04</v>
      </c>
      <c r="C79" s="423">
        <v>10164850.04</v>
      </c>
      <c r="D79" s="423">
        <v>1616735.19</v>
      </c>
      <c r="E79" s="184">
        <f t="shared" si="6"/>
        <v>0.1590515535042758</v>
      </c>
      <c r="F79" s="423">
        <v>1616735.19</v>
      </c>
      <c r="G79" s="184">
        <f t="shared" si="7"/>
        <v>0.1590515535042758</v>
      </c>
      <c r="H79" s="376"/>
    </row>
    <row r="80" spans="1:8" s="386" customFormat="1" ht="12.75">
      <c r="A80" s="328" t="s">
        <v>619</v>
      </c>
      <c r="B80" s="424">
        <f>SUM(B81:B82)</f>
        <v>0</v>
      </c>
      <c r="C80" s="424">
        <f>SUM(C81:C82)</f>
        <v>0</v>
      </c>
      <c r="D80" s="424">
        <f>SUM(D81:D82)</f>
        <v>0</v>
      </c>
      <c r="E80" s="184">
        <f t="shared" si="6"/>
        <v>0</v>
      </c>
      <c r="F80" s="424">
        <f>SUM(F81:F82)</f>
        <v>0</v>
      </c>
      <c r="G80" s="184">
        <f t="shared" si="7"/>
        <v>0</v>
      </c>
      <c r="H80" s="425">
        <f>SUM(H81:H82)</f>
        <v>0</v>
      </c>
    </row>
    <row r="81" spans="1:8" s="386" customFormat="1" ht="12.75">
      <c r="A81" s="328" t="s">
        <v>620</v>
      </c>
      <c r="B81" s="423"/>
      <c r="C81" s="423"/>
      <c r="D81" s="423"/>
      <c r="E81" s="184">
        <f t="shared" si="6"/>
        <v>0</v>
      </c>
      <c r="F81" s="423"/>
      <c r="G81" s="184">
        <f t="shared" si="7"/>
        <v>0</v>
      </c>
      <c r="H81" s="376"/>
    </row>
    <row r="82" spans="1:8" s="386" customFormat="1" ht="12.75">
      <c r="A82" s="426" t="s">
        <v>621</v>
      </c>
      <c r="B82" s="427"/>
      <c r="C82" s="427"/>
      <c r="D82" s="427"/>
      <c r="E82" s="428">
        <f t="shared" si="6"/>
        <v>0</v>
      </c>
      <c r="F82" s="427"/>
      <c r="G82" s="428">
        <f t="shared" si="7"/>
        <v>0</v>
      </c>
      <c r="H82" s="429"/>
    </row>
    <row r="83" spans="1:256" s="386" customFormat="1" ht="12.75">
      <c r="A83" s="430" t="s">
        <v>622</v>
      </c>
      <c r="B83" s="431">
        <f>B77+B80</f>
        <v>10164850.04</v>
      </c>
      <c r="C83" s="431">
        <f aca="true" t="shared" si="8" ref="C83:H83">C77+C80</f>
        <v>10164850.04</v>
      </c>
      <c r="D83" s="431">
        <f t="shared" si="8"/>
        <v>1616735.19</v>
      </c>
      <c r="E83" s="185">
        <f t="shared" si="6"/>
        <v>0.1590515535042758</v>
      </c>
      <c r="F83" s="431">
        <f t="shared" si="8"/>
        <v>1616735.19</v>
      </c>
      <c r="G83" s="185">
        <f t="shared" si="7"/>
        <v>0.1590515535042758</v>
      </c>
      <c r="H83" s="432">
        <f t="shared" si="8"/>
        <v>0</v>
      </c>
      <c r="IV83" s="143">
        <f>IF($A$7=$IV$12,IF(D83&lt;&gt;(F83+H83),0,1),1)</f>
        <v>1</v>
      </c>
    </row>
    <row r="84" spans="1:8" s="387" customFormat="1" ht="12.75" customHeight="1">
      <c r="A84" s="1095" t="s">
        <v>623</v>
      </c>
      <c r="B84" s="1095"/>
      <c r="C84" s="1095"/>
      <c r="D84" s="1095"/>
      <c r="E84" s="1095"/>
      <c r="F84" s="1095"/>
      <c r="G84" s="1096" t="s">
        <v>411</v>
      </c>
      <c r="H84" s="1095"/>
    </row>
    <row r="85" spans="1:8" s="386" customFormat="1" ht="12.75" customHeight="1">
      <c r="A85" s="1097" t="s">
        <v>624</v>
      </c>
      <c r="B85" s="1097"/>
      <c r="C85" s="1097"/>
      <c r="D85" s="433"/>
      <c r="E85" s="433"/>
      <c r="F85" s="434"/>
      <c r="G85" s="1098">
        <f>SUM(G86:G87)</f>
        <v>18662</v>
      </c>
      <c r="H85" s="1099"/>
    </row>
    <row r="86" spans="1:8" s="386" customFormat="1" ht="12.75">
      <c r="A86" s="435" t="s">
        <v>625</v>
      </c>
      <c r="B86" s="435"/>
      <c r="C86" s="435"/>
      <c r="D86" s="435"/>
      <c r="E86" s="435"/>
      <c r="F86" s="436"/>
      <c r="G86" s="955"/>
      <c r="H86" s="956"/>
    </row>
    <row r="87" spans="1:8" s="386" customFormat="1" ht="12.75">
      <c r="A87" s="435" t="s">
        <v>626</v>
      </c>
      <c r="B87" s="435"/>
      <c r="C87" s="435"/>
      <c r="D87" s="435"/>
      <c r="E87" s="435"/>
      <c r="F87" s="436"/>
      <c r="G87" s="955">
        <v>18662</v>
      </c>
      <c r="H87" s="956"/>
    </row>
    <row r="88" spans="1:8" s="386" customFormat="1" ht="12.75" customHeight="1">
      <c r="A88" s="1100" t="s">
        <v>627</v>
      </c>
      <c r="B88" s="1100"/>
      <c r="C88" s="1100"/>
      <c r="D88" s="1100"/>
      <c r="E88" s="435"/>
      <c r="F88" s="436"/>
      <c r="G88" s="1101">
        <f>SUM(G89:G90)</f>
        <v>0</v>
      </c>
      <c r="H88" s="1102"/>
    </row>
    <row r="89" spans="1:8" s="386" customFormat="1" ht="12.75">
      <c r="A89" s="435" t="s">
        <v>628</v>
      </c>
      <c r="B89" s="435"/>
      <c r="C89" s="435"/>
      <c r="D89" s="435"/>
      <c r="E89" s="435"/>
      <c r="F89" s="436"/>
      <c r="G89" s="955"/>
      <c r="H89" s="956"/>
    </row>
    <row r="90" spans="1:8" s="386" customFormat="1" ht="12.75">
      <c r="A90" s="437" t="s">
        <v>629</v>
      </c>
      <c r="B90" s="437"/>
      <c r="C90" s="437"/>
      <c r="D90" s="437"/>
      <c r="E90" s="437"/>
      <c r="F90" s="438"/>
      <c r="G90" s="955"/>
      <c r="H90" s="956"/>
    </row>
    <row r="91" spans="1:8" s="386" customFormat="1" ht="12.75" customHeight="1">
      <c r="A91" s="439" t="s">
        <v>630</v>
      </c>
      <c r="B91" s="439"/>
      <c r="C91" s="439"/>
      <c r="D91" s="439"/>
      <c r="E91" s="439"/>
      <c r="F91" s="440"/>
      <c r="G91" s="1103">
        <f>G85+G88</f>
        <v>18662</v>
      </c>
      <c r="H91" s="1104"/>
    </row>
    <row r="92" spans="1:8" s="386" customFormat="1" ht="15.75" customHeight="1">
      <c r="A92" s="1095" t="s">
        <v>631</v>
      </c>
      <c r="B92" s="1095"/>
      <c r="C92" s="1095"/>
      <c r="D92" s="1095"/>
      <c r="E92" s="1095"/>
      <c r="F92" s="1105"/>
      <c r="G92" s="1096" t="s">
        <v>411</v>
      </c>
      <c r="H92" s="1095"/>
    </row>
    <row r="93" spans="1:8" s="386" customFormat="1" ht="12.75" customHeight="1">
      <c r="A93" s="441" t="s">
        <v>632</v>
      </c>
      <c r="B93" s="441"/>
      <c r="C93" s="441"/>
      <c r="D93" s="441"/>
      <c r="E93" s="441"/>
      <c r="F93" s="442"/>
      <c r="G93" s="970">
        <f>F83-G91</f>
        <v>1598073.19</v>
      </c>
      <c r="H93" s="1034"/>
    </row>
    <row r="94" spans="1:8" s="386" customFormat="1" ht="14.25" customHeight="1">
      <c r="A94" s="443" t="s">
        <v>633</v>
      </c>
      <c r="B94" s="443"/>
      <c r="C94" s="443"/>
      <c r="D94" s="443"/>
      <c r="E94" s="443"/>
      <c r="F94" s="444"/>
      <c r="G94" s="1106">
        <f>IF(F$67="",0,IF(F$67=0,0,(F77-(G86+G89))/F$67))</f>
        <v>0.6987792082497771</v>
      </c>
      <c r="H94" s="1107"/>
    </row>
    <row r="95" spans="1:8" s="386" customFormat="1" ht="12.75" customHeight="1">
      <c r="A95" s="443" t="s">
        <v>634</v>
      </c>
      <c r="B95" s="443"/>
      <c r="C95" s="443"/>
      <c r="D95" s="443"/>
      <c r="E95" s="443"/>
      <c r="F95" s="444"/>
      <c r="G95" s="1106">
        <f>IF(F$67="",0,IF(F$67=0,0,(F80-(G87+G90))/F$67))</f>
        <v>-0.008066019509575554</v>
      </c>
      <c r="H95" s="1107"/>
    </row>
    <row r="96" spans="1:8" s="386" customFormat="1" ht="13.5" customHeight="1">
      <c r="A96" s="1091" t="s">
        <v>635</v>
      </c>
      <c r="B96" s="1091"/>
      <c r="C96" s="1091"/>
      <c r="D96" s="1091"/>
      <c r="E96" s="1091"/>
      <c r="F96" s="1108"/>
      <c r="G96" s="1109">
        <f>IF(G94+G95=0,0,1-G94-G95)</f>
        <v>0.3092868112597984</v>
      </c>
      <c r="H96" s="1110"/>
    </row>
    <row r="97" spans="1:8" s="388" customFormat="1" ht="16.5" customHeight="1">
      <c r="A97" s="1095" t="s">
        <v>636</v>
      </c>
      <c r="B97" s="1095"/>
      <c r="C97" s="1095"/>
      <c r="D97" s="1095"/>
      <c r="E97" s="1095"/>
      <c r="F97" s="1105"/>
      <c r="G97" s="1096" t="s">
        <v>411</v>
      </c>
      <c r="H97" s="1095"/>
    </row>
    <row r="98" spans="1:8" s="386" customFormat="1" ht="18.75" customHeight="1">
      <c r="A98" s="1111" t="s">
        <v>637</v>
      </c>
      <c r="B98" s="1111"/>
      <c r="C98" s="1111"/>
      <c r="D98" s="1111"/>
      <c r="E98" s="1111"/>
      <c r="F98" s="1112"/>
      <c r="G98" s="1113">
        <v>459957.48</v>
      </c>
      <c r="H98" s="1114"/>
    </row>
    <row r="99" spans="1:8" s="386" customFormat="1" ht="18.75" customHeight="1">
      <c r="A99" s="1115" t="s">
        <v>638</v>
      </c>
      <c r="B99" s="1115"/>
      <c r="C99" s="1115"/>
      <c r="D99" s="1115"/>
      <c r="E99" s="1115"/>
      <c r="F99" s="1116"/>
      <c r="G99" s="844"/>
      <c r="H99" s="1117"/>
    </row>
    <row r="100" spans="1:8" s="386" customFormat="1" ht="12.75">
      <c r="A100" s="1118" t="s">
        <v>639</v>
      </c>
      <c r="B100" s="1118"/>
      <c r="C100" s="1118"/>
      <c r="D100" s="1118"/>
      <c r="E100" s="1118"/>
      <c r="F100" s="1118"/>
      <c r="G100" s="1118"/>
      <c r="H100" s="1118"/>
    </row>
    <row r="101" spans="1:12" s="386" customFormat="1" ht="44.25" customHeight="1">
      <c r="A101" s="1176" t="str">
        <f>IF(IV118=0,"ERRO!!!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1" s="1126" t="s">
        <v>119</v>
      </c>
      <c r="C101" s="1126" t="s">
        <v>120</v>
      </c>
      <c r="D101" s="1092" t="str">
        <f>IF(IV118=0,"ERRO!!!","DESPESAS EMPENHADAS")</f>
        <v>DESPESAS EMPENHADAS</v>
      </c>
      <c r="E101" s="1093"/>
      <c r="F101" s="1092" t="str">
        <f>IF(IV118=0,"ERRO!!!","DESPESAS LIQUIDADAS")</f>
        <v>DESPESAS LIQUIDADAS</v>
      </c>
      <c r="G101" s="1094"/>
      <c r="H101" s="1182" t="s">
        <v>611</v>
      </c>
      <c r="I101" s="459"/>
      <c r="J101" s="460"/>
      <c r="K101" s="461"/>
      <c r="L101" s="415"/>
    </row>
    <row r="102" spans="1:12" s="386" customFormat="1" ht="12.75">
      <c r="A102" s="1177"/>
      <c r="B102" s="1127"/>
      <c r="C102" s="1127"/>
      <c r="D102" s="357" t="s">
        <v>40</v>
      </c>
      <c r="E102" s="358" t="s">
        <v>39</v>
      </c>
      <c r="F102" s="357" t="s">
        <v>40</v>
      </c>
      <c r="G102" s="358" t="s">
        <v>39</v>
      </c>
      <c r="H102" s="1183"/>
      <c r="I102" s="461"/>
      <c r="J102" s="461"/>
      <c r="K102" s="415"/>
      <c r="L102" s="415"/>
    </row>
    <row r="103" spans="1:12" s="386" customFormat="1" ht="12.75">
      <c r="A103" s="1178"/>
      <c r="B103" s="1179"/>
      <c r="C103" s="361" t="s">
        <v>126</v>
      </c>
      <c r="D103" s="361" t="s">
        <v>127</v>
      </c>
      <c r="E103" s="408" t="s">
        <v>612</v>
      </c>
      <c r="F103" s="361" t="s">
        <v>613</v>
      </c>
      <c r="G103" s="362" t="s">
        <v>614</v>
      </c>
      <c r="H103" s="363" t="s">
        <v>615</v>
      </c>
      <c r="I103" s="461"/>
      <c r="J103" s="461"/>
      <c r="K103" s="461"/>
      <c r="L103" s="415"/>
    </row>
    <row r="104" spans="1:12" s="386" customFormat="1" ht="12.75">
      <c r="A104" s="413" t="s">
        <v>640</v>
      </c>
      <c r="B104" s="445">
        <f>B105+B108</f>
        <v>0</v>
      </c>
      <c r="C104" s="445">
        <f aca="true" t="shared" si="9" ref="C104:H104">C105+C108</f>
        <v>0</v>
      </c>
      <c r="D104" s="446">
        <f t="shared" si="9"/>
        <v>0</v>
      </c>
      <c r="E104" s="182">
        <f>IF($C104="",0,IF($C104=0,0,D104/$C104))</f>
        <v>0</v>
      </c>
      <c r="F104" s="447">
        <f t="shared" si="9"/>
        <v>0</v>
      </c>
      <c r="G104" s="182">
        <f>IF($C104="",0,IF($C104=0,0,F104/$C104))</f>
        <v>0</v>
      </c>
      <c r="H104" s="446">
        <f t="shared" si="9"/>
        <v>0</v>
      </c>
      <c r="I104" s="415"/>
      <c r="J104" s="415"/>
      <c r="K104" s="415"/>
      <c r="L104" s="415"/>
    </row>
    <row r="105" spans="1:12" s="386" customFormat="1" ht="12.75">
      <c r="A105" s="398" t="s">
        <v>641</v>
      </c>
      <c r="B105" s="448">
        <f>SUM(B106:B107)</f>
        <v>0</v>
      </c>
      <c r="C105" s="448">
        <f>SUM(C106:C107)</f>
        <v>0</v>
      </c>
      <c r="D105" s="449">
        <f>SUM(D106:D107)</f>
        <v>0</v>
      </c>
      <c r="E105" s="185">
        <f aca="true" t="shared" si="10" ref="E105:G118">IF($C105="",0,IF($C105=0,0,D105/$C105))</f>
        <v>0</v>
      </c>
      <c r="F105" s="450">
        <f>SUM(F106:F107)</f>
        <v>0</v>
      </c>
      <c r="G105" s="185">
        <f t="shared" si="10"/>
        <v>0</v>
      </c>
      <c r="H105" s="449">
        <f>SUM(H106:H107)</f>
        <v>0</v>
      </c>
      <c r="I105" s="415"/>
      <c r="J105" s="415"/>
      <c r="K105" s="415"/>
      <c r="L105" s="415"/>
    </row>
    <row r="106" spans="1:8" s="386" customFormat="1" ht="12.75">
      <c r="A106" s="398" t="s">
        <v>642</v>
      </c>
      <c r="B106" s="375"/>
      <c r="C106" s="375"/>
      <c r="D106" s="376"/>
      <c r="E106" s="185">
        <f t="shared" si="10"/>
        <v>0</v>
      </c>
      <c r="F106" s="371"/>
      <c r="G106" s="185">
        <f t="shared" si="10"/>
        <v>0</v>
      </c>
      <c r="H106" s="376"/>
    </row>
    <row r="107" spans="1:8" s="386" customFormat="1" ht="12.75">
      <c r="A107" s="398" t="s">
        <v>643</v>
      </c>
      <c r="B107" s="375"/>
      <c r="C107" s="375"/>
      <c r="D107" s="376"/>
      <c r="E107" s="185">
        <f t="shared" si="10"/>
        <v>0</v>
      </c>
      <c r="F107" s="371"/>
      <c r="G107" s="185">
        <f t="shared" si="10"/>
        <v>0</v>
      </c>
      <c r="H107" s="376"/>
    </row>
    <row r="108" spans="1:8" s="386" customFormat="1" ht="12.75">
      <c r="A108" s="398" t="s">
        <v>644</v>
      </c>
      <c r="B108" s="448">
        <f>SUM(B109:B110)</f>
        <v>0</v>
      </c>
      <c r="C108" s="448">
        <f>SUM(C109:C110)</f>
        <v>0</v>
      </c>
      <c r="D108" s="449">
        <f>SUM(D109:D110)</f>
        <v>0</v>
      </c>
      <c r="E108" s="185">
        <f t="shared" si="10"/>
        <v>0</v>
      </c>
      <c r="F108" s="450">
        <f>SUM(F109:F110)</f>
        <v>0</v>
      </c>
      <c r="G108" s="185">
        <f t="shared" si="10"/>
        <v>0</v>
      </c>
      <c r="H108" s="449">
        <f>SUM(H109:H110)</f>
        <v>0</v>
      </c>
    </row>
    <row r="109" spans="1:8" s="386" customFormat="1" ht="12.75">
      <c r="A109" s="398" t="s">
        <v>645</v>
      </c>
      <c r="B109" s="375"/>
      <c r="C109" s="375"/>
      <c r="D109" s="376"/>
      <c r="E109" s="185">
        <f t="shared" si="10"/>
        <v>0</v>
      </c>
      <c r="F109" s="371"/>
      <c r="G109" s="185">
        <f t="shared" si="10"/>
        <v>0</v>
      </c>
      <c r="H109" s="376"/>
    </row>
    <row r="110" spans="1:8" s="386" customFormat="1" ht="12.75">
      <c r="A110" s="398" t="s">
        <v>646</v>
      </c>
      <c r="B110" s="375"/>
      <c r="C110" s="375"/>
      <c r="D110" s="376"/>
      <c r="E110" s="185">
        <f t="shared" si="10"/>
        <v>0</v>
      </c>
      <c r="F110" s="371"/>
      <c r="G110" s="185">
        <f t="shared" si="10"/>
        <v>0</v>
      </c>
      <c r="H110" s="376"/>
    </row>
    <row r="111" spans="1:8" s="386" customFormat="1" ht="12.75">
      <c r="A111" s="398" t="s">
        <v>647</v>
      </c>
      <c r="B111" s="448">
        <f>SUM(B112:B113)</f>
        <v>0</v>
      </c>
      <c r="C111" s="448">
        <f>SUM(C112:C113)</f>
        <v>0</v>
      </c>
      <c r="D111" s="449">
        <f>SUM(D112:D113)</f>
        <v>0</v>
      </c>
      <c r="E111" s="185">
        <f t="shared" si="10"/>
        <v>0</v>
      </c>
      <c r="F111" s="450">
        <f>SUM(F112:F113)</f>
        <v>0</v>
      </c>
      <c r="G111" s="185">
        <f t="shared" si="10"/>
        <v>0</v>
      </c>
      <c r="H111" s="449">
        <f>SUM(H112:H113)</f>
        <v>0</v>
      </c>
    </row>
    <row r="112" spans="1:8" s="386" customFormat="1" ht="12.75">
      <c r="A112" s="398" t="s">
        <v>648</v>
      </c>
      <c r="B112" s="375"/>
      <c r="C112" s="375"/>
      <c r="D112" s="376"/>
      <c r="E112" s="185">
        <f t="shared" si="10"/>
        <v>0</v>
      </c>
      <c r="F112" s="371"/>
      <c r="G112" s="185">
        <f t="shared" si="10"/>
        <v>0</v>
      </c>
      <c r="H112" s="376"/>
    </row>
    <row r="113" spans="1:8" s="386" customFormat="1" ht="12.75">
      <c r="A113" s="398" t="s">
        <v>649</v>
      </c>
      <c r="B113" s="375"/>
      <c r="C113" s="375"/>
      <c r="D113" s="376"/>
      <c r="E113" s="185">
        <f t="shared" si="10"/>
        <v>0</v>
      </c>
      <c r="F113" s="371"/>
      <c r="G113" s="185">
        <f t="shared" si="10"/>
        <v>0</v>
      </c>
      <c r="H113" s="376"/>
    </row>
    <row r="114" spans="1:8" s="386" customFormat="1" ht="12.75">
      <c r="A114" s="398" t="s">
        <v>650</v>
      </c>
      <c r="B114" s="375"/>
      <c r="C114" s="375"/>
      <c r="D114" s="376"/>
      <c r="E114" s="185">
        <f t="shared" si="10"/>
        <v>0</v>
      </c>
      <c r="F114" s="371"/>
      <c r="G114" s="185">
        <f t="shared" si="10"/>
        <v>0</v>
      </c>
      <c r="H114" s="376"/>
    </row>
    <row r="115" spans="1:8" s="386" customFormat="1" ht="12.75">
      <c r="A115" s="398" t="s">
        <v>651</v>
      </c>
      <c r="B115" s="375"/>
      <c r="C115" s="375"/>
      <c r="D115" s="376"/>
      <c r="E115" s="185">
        <f t="shared" si="10"/>
        <v>0</v>
      </c>
      <c r="F115" s="371"/>
      <c r="G115" s="185">
        <f t="shared" si="10"/>
        <v>0</v>
      </c>
      <c r="H115" s="376"/>
    </row>
    <row r="116" spans="1:8" s="386" customFormat="1" ht="12.75">
      <c r="A116" s="398" t="s">
        <v>652</v>
      </c>
      <c r="B116" s="375"/>
      <c r="C116" s="375"/>
      <c r="D116" s="376"/>
      <c r="E116" s="185">
        <f t="shared" si="10"/>
        <v>0</v>
      </c>
      <c r="F116" s="371"/>
      <c r="G116" s="185">
        <f t="shared" si="10"/>
        <v>0</v>
      </c>
      <c r="H116" s="376"/>
    </row>
    <row r="117" spans="1:8" s="386" customFormat="1" ht="12.75">
      <c r="A117" s="430" t="s">
        <v>653</v>
      </c>
      <c r="B117" s="375"/>
      <c r="C117" s="375"/>
      <c r="D117" s="376"/>
      <c r="E117" s="191">
        <f t="shared" si="10"/>
        <v>0</v>
      </c>
      <c r="F117" s="371"/>
      <c r="G117" s="191">
        <f t="shared" si="10"/>
        <v>0</v>
      </c>
      <c r="H117" s="376"/>
    </row>
    <row r="118" spans="1:256" s="386" customFormat="1" ht="12.75">
      <c r="A118" s="430" t="s">
        <v>654</v>
      </c>
      <c r="B118" s="451">
        <f>SUM(B104,B111,B114:B117)</f>
        <v>0</v>
      </c>
      <c r="C118" s="451">
        <f>SUM(C104,C111,C114:C117)</f>
        <v>0</v>
      </c>
      <c r="D118" s="451">
        <f>SUM(D104,D111,D114:D117)</f>
        <v>0</v>
      </c>
      <c r="E118" s="195">
        <f t="shared" si="10"/>
        <v>0</v>
      </c>
      <c r="F118" s="451">
        <f>SUM(F104,F111,F114:F117)</f>
        <v>0</v>
      </c>
      <c r="G118" s="195">
        <f t="shared" si="10"/>
        <v>0</v>
      </c>
      <c r="H118" s="452">
        <f>SUM(H104,H111,H114:H117)</f>
        <v>0</v>
      </c>
      <c r="IV118" s="143">
        <f>IF($A$7=$IV$12,IF(D118&lt;&gt;(F118+H118),0,1),1)</f>
        <v>1</v>
      </c>
    </row>
    <row r="119" spans="1:8" s="386" customFormat="1" ht="12.75">
      <c r="A119" s="1185" t="s">
        <v>655</v>
      </c>
      <c r="B119" s="1185"/>
      <c r="C119" s="1185"/>
      <c r="D119" s="1185"/>
      <c r="E119" s="1185"/>
      <c r="F119" s="1176"/>
      <c r="G119" s="1184" t="s">
        <v>411</v>
      </c>
      <c r="H119" s="1185"/>
    </row>
    <row r="120" spans="1:8" s="386" customFormat="1" ht="12.75">
      <c r="A120" s="1187"/>
      <c r="B120" s="1187"/>
      <c r="C120" s="1187"/>
      <c r="D120" s="1187"/>
      <c r="E120" s="1187"/>
      <c r="F120" s="1177"/>
      <c r="G120" s="1186"/>
      <c r="H120" s="1187"/>
    </row>
    <row r="121" spans="1:8" s="386" customFormat="1" ht="12.75">
      <c r="A121" s="1189"/>
      <c r="B121" s="1189"/>
      <c r="C121" s="1189"/>
      <c r="D121" s="1189"/>
      <c r="E121" s="1189"/>
      <c r="F121" s="1178"/>
      <c r="G121" s="1188"/>
      <c r="H121" s="1189"/>
    </row>
    <row r="122" spans="1:8" s="387" customFormat="1" ht="12.75">
      <c r="A122" s="453" t="s">
        <v>656</v>
      </c>
      <c r="B122" s="453"/>
      <c r="C122" s="453"/>
      <c r="D122" s="453"/>
      <c r="E122" s="453"/>
      <c r="F122" s="454"/>
      <c r="G122" s="1119">
        <f>F71</f>
        <v>596908.65</v>
      </c>
      <c r="H122" s="1120"/>
    </row>
    <row r="123" spans="1:8" s="387" customFormat="1" ht="12.75">
      <c r="A123" s="313" t="s">
        <v>657</v>
      </c>
      <c r="B123" s="313"/>
      <c r="C123" s="313"/>
      <c r="D123" s="313"/>
      <c r="E123" s="313"/>
      <c r="F123" s="454"/>
      <c r="G123" s="806"/>
      <c r="H123" s="1121"/>
    </row>
    <row r="124" spans="1:8" s="387" customFormat="1" ht="12.75" customHeight="1">
      <c r="A124" s="1122" t="s">
        <v>658</v>
      </c>
      <c r="B124" s="1122"/>
      <c r="C124" s="1122"/>
      <c r="D124" s="313"/>
      <c r="E124" s="313"/>
      <c r="F124" s="455"/>
      <c r="G124" s="1123">
        <f>F70</f>
        <v>4233.57</v>
      </c>
      <c r="H124" s="1124"/>
    </row>
    <row r="125" spans="1:8" s="387" customFormat="1" ht="12.75" customHeight="1">
      <c r="A125" s="1122" t="s">
        <v>659</v>
      </c>
      <c r="B125" s="1122"/>
      <c r="C125" s="1122"/>
      <c r="D125" s="313"/>
      <c r="E125" s="313"/>
      <c r="F125" s="455"/>
      <c r="G125" s="806"/>
      <c r="H125" s="1121"/>
    </row>
    <row r="126" spans="1:8" s="387" customFormat="1" ht="12.75" customHeight="1">
      <c r="A126" s="1122" t="s">
        <v>660</v>
      </c>
      <c r="B126" s="1122"/>
      <c r="C126" s="1122"/>
      <c r="D126" s="313"/>
      <c r="E126" s="313"/>
      <c r="F126" s="455"/>
      <c r="G126" s="806"/>
      <c r="H126" s="1121"/>
    </row>
    <row r="127" spans="1:8" s="387" customFormat="1" ht="17.25" customHeight="1">
      <c r="A127" s="1122" t="s">
        <v>661</v>
      </c>
      <c r="B127" s="1122"/>
      <c r="C127" s="1122"/>
      <c r="D127" s="1122"/>
      <c r="E127" s="313"/>
      <c r="F127" s="455"/>
      <c r="G127" s="806"/>
      <c r="H127" s="1121"/>
    </row>
    <row r="128" spans="1:8" s="387" customFormat="1" ht="12.75" customHeight="1">
      <c r="A128" s="1125" t="s">
        <v>662</v>
      </c>
      <c r="B128" s="1125"/>
      <c r="C128" s="1125"/>
      <c r="D128" s="1125"/>
      <c r="E128" s="1125"/>
      <c r="F128" s="1125"/>
      <c r="G128" s="806"/>
      <c r="H128" s="1121"/>
    </row>
    <row r="129" spans="1:12" s="386" customFormat="1" ht="15.75" customHeight="1">
      <c r="A129" s="1137" t="s">
        <v>663</v>
      </c>
      <c r="B129" s="1137"/>
      <c r="C129" s="1137"/>
      <c r="D129" s="1137"/>
      <c r="E129" s="1137"/>
      <c r="F129" s="1138"/>
      <c r="G129" s="1139">
        <f>SUM(G122:H128)</f>
        <v>601142.22</v>
      </c>
      <c r="H129" s="1140"/>
      <c r="I129" s="415"/>
      <c r="J129" s="415"/>
      <c r="K129" s="415"/>
      <c r="L129" s="415"/>
    </row>
    <row r="130" spans="1:12" s="386" customFormat="1" ht="15.75">
      <c r="A130" s="439" t="s">
        <v>664</v>
      </c>
      <c r="B130" s="439"/>
      <c r="C130" s="439"/>
      <c r="D130" s="439"/>
      <c r="E130" s="439"/>
      <c r="F130" s="440"/>
      <c r="G130" s="1139">
        <f>F104+F111-G129</f>
        <v>-601142.22</v>
      </c>
      <c r="H130" s="1140"/>
      <c r="I130" s="415"/>
      <c r="J130" s="415"/>
      <c r="K130" s="415"/>
      <c r="L130" s="415"/>
    </row>
    <row r="131" spans="1:12" s="389" customFormat="1" ht="16.5" customHeight="1">
      <c r="A131" s="1141" t="s">
        <v>665</v>
      </c>
      <c r="B131" s="1141"/>
      <c r="C131" s="1141"/>
      <c r="D131" s="1141"/>
      <c r="E131" s="1141"/>
      <c r="F131" s="1142"/>
      <c r="G131" s="1143">
        <f>IF(IV14=1,"Erro planilha INFORMAÇÕES INICIAIS!",IF(IV118=0,"VERIFIQUE ERRO ACIMA!",IF(F38="",0,IF(F38=0,0,(G130/F38)))))</f>
        <v>-0.26846635909755007</v>
      </c>
      <c r="H131" s="1144"/>
      <c r="I131" s="476"/>
      <c r="J131" s="476"/>
      <c r="K131" s="476"/>
      <c r="L131" s="477"/>
    </row>
    <row r="132" spans="1:12" s="386" customFormat="1" ht="12.75">
      <c r="A132" s="1145" t="s">
        <v>666</v>
      </c>
      <c r="B132" s="1145"/>
      <c r="C132" s="1145"/>
      <c r="D132" s="1145"/>
      <c r="E132" s="1145"/>
      <c r="F132" s="1145"/>
      <c r="G132" s="1145"/>
      <c r="H132" s="1145"/>
      <c r="I132" s="458"/>
      <c r="J132" s="458"/>
      <c r="K132" s="458"/>
      <c r="L132" s="415"/>
    </row>
    <row r="133" spans="1:12" s="386" customFormat="1" ht="44.25" customHeight="1">
      <c r="A133" s="1176" t="s">
        <v>667</v>
      </c>
      <c r="B133" s="1126" t="s">
        <v>119</v>
      </c>
      <c r="C133" s="1126" t="s">
        <v>120</v>
      </c>
      <c r="D133" s="1092" t="s">
        <v>121</v>
      </c>
      <c r="E133" s="1093"/>
      <c r="F133" s="1092" t="s">
        <v>122</v>
      </c>
      <c r="G133" s="1094"/>
      <c r="H133" s="1182" t="s">
        <v>611</v>
      </c>
      <c r="I133" s="459"/>
      <c r="J133" s="460"/>
      <c r="K133" s="461"/>
      <c r="L133" s="415"/>
    </row>
    <row r="134" spans="1:12" s="386" customFormat="1" ht="12.75">
      <c r="A134" s="1177"/>
      <c r="B134" s="1127"/>
      <c r="C134" s="1127"/>
      <c r="D134" s="357" t="s">
        <v>40</v>
      </c>
      <c r="E134" s="358" t="s">
        <v>39</v>
      </c>
      <c r="F134" s="357" t="s">
        <v>40</v>
      </c>
      <c r="G134" s="358" t="s">
        <v>39</v>
      </c>
      <c r="H134" s="1183"/>
      <c r="I134" s="461"/>
      <c r="J134" s="461"/>
      <c r="K134" s="415"/>
      <c r="L134" s="415"/>
    </row>
    <row r="135" spans="1:12" s="386" customFormat="1" ht="12.75">
      <c r="A135" s="1178"/>
      <c r="B135" s="1179"/>
      <c r="C135" s="361" t="s">
        <v>126</v>
      </c>
      <c r="D135" s="361" t="s">
        <v>127</v>
      </c>
      <c r="E135" s="362" t="s">
        <v>612</v>
      </c>
      <c r="F135" s="361" t="s">
        <v>613</v>
      </c>
      <c r="G135" s="362" t="s">
        <v>614</v>
      </c>
      <c r="H135" s="363" t="s">
        <v>615</v>
      </c>
      <c r="I135" s="461"/>
      <c r="J135" s="461"/>
      <c r="K135" s="461"/>
      <c r="L135" s="415"/>
    </row>
    <row r="136" spans="1:12" s="386" customFormat="1" ht="25.5">
      <c r="A136" s="409" t="s">
        <v>668</v>
      </c>
      <c r="B136" s="462"/>
      <c r="C136" s="463"/>
      <c r="D136" s="462"/>
      <c r="E136" s="464">
        <f aca="true" t="shared" si="11" ref="E136:E141">IF($C136="",0,IF($C136=0,0,D136/$C136))</f>
        <v>0</v>
      </c>
      <c r="F136" s="465"/>
      <c r="G136" s="464">
        <f aca="true" t="shared" si="12" ref="G136:G141">IF($C136="",0,IF($C136=0,0,F136/$C136))</f>
        <v>0</v>
      </c>
      <c r="H136" s="466"/>
      <c r="I136" s="415"/>
      <c r="J136" s="415"/>
      <c r="K136" s="415"/>
      <c r="L136" s="415"/>
    </row>
    <row r="137" spans="1:8" s="386" customFormat="1" ht="14.25" customHeight="1">
      <c r="A137" s="409" t="s">
        <v>669</v>
      </c>
      <c r="B137" s="467"/>
      <c r="C137" s="372"/>
      <c r="D137" s="372"/>
      <c r="E137" s="185">
        <f t="shared" si="11"/>
        <v>0</v>
      </c>
      <c r="F137" s="375"/>
      <c r="G137" s="185">
        <f t="shared" si="12"/>
        <v>0</v>
      </c>
      <c r="H137" s="370"/>
    </row>
    <row r="138" spans="1:8" s="386" customFormat="1" ht="12.75">
      <c r="A138" s="468" t="s">
        <v>670</v>
      </c>
      <c r="B138" s="370"/>
      <c r="C138" s="370"/>
      <c r="D138" s="370"/>
      <c r="E138" s="185">
        <f t="shared" si="11"/>
        <v>0</v>
      </c>
      <c r="F138" s="375"/>
      <c r="G138" s="185">
        <f t="shared" si="12"/>
        <v>0</v>
      </c>
      <c r="H138" s="370"/>
    </row>
    <row r="139" spans="1:8" s="386" customFormat="1" ht="12.75" customHeight="1">
      <c r="A139" s="469" t="s">
        <v>671</v>
      </c>
      <c r="B139" s="467"/>
      <c r="C139" s="372"/>
      <c r="D139" s="372"/>
      <c r="E139" s="185">
        <f t="shared" si="11"/>
        <v>0</v>
      </c>
      <c r="F139" s="375"/>
      <c r="G139" s="185">
        <f t="shared" si="12"/>
        <v>0</v>
      </c>
      <c r="H139" s="470"/>
    </row>
    <row r="140" spans="1:8" s="386" customFormat="1" ht="25.5" customHeight="1">
      <c r="A140" s="469" t="s">
        <v>672</v>
      </c>
      <c r="B140" s="471">
        <f>SUM(B136:B139)</f>
        <v>0</v>
      </c>
      <c r="C140" s="471">
        <f aca="true" t="shared" si="13" ref="C140:H140">SUM(C136:C139)</f>
        <v>0</v>
      </c>
      <c r="D140" s="471">
        <f t="shared" si="13"/>
        <v>0</v>
      </c>
      <c r="E140" s="472">
        <f t="shared" si="11"/>
        <v>0</v>
      </c>
      <c r="F140" s="471">
        <f t="shared" si="13"/>
        <v>0</v>
      </c>
      <c r="G140" s="472">
        <f t="shared" si="12"/>
        <v>0</v>
      </c>
      <c r="H140" s="473">
        <f t="shared" si="13"/>
        <v>0</v>
      </c>
    </row>
    <row r="141" spans="1:8" s="386" customFormat="1" ht="12.75">
      <c r="A141" s="469" t="s">
        <v>673</v>
      </c>
      <c r="B141" s="474">
        <f>B118+B140</f>
        <v>0</v>
      </c>
      <c r="C141" s="474">
        <f aca="true" t="shared" si="14" ref="C141:H141">C118+C140</f>
        <v>0</v>
      </c>
      <c r="D141" s="474">
        <f t="shared" si="14"/>
        <v>0</v>
      </c>
      <c r="E141" s="185">
        <f t="shared" si="11"/>
        <v>0</v>
      </c>
      <c r="F141" s="474">
        <f t="shared" si="14"/>
        <v>0</v>
      </c>
      <c r="G141" s="185">
        <f t="shared" si="12"/>
        <v>0</v>
      </c>
      <c r="H141" s="475">
        <f t="shared" si="14"/>
        <v>0</v>
      </c>
    </row>
    <row r="142" spans="1:8" s="386" customFormat="1" ht="12.75" customHeight="1">
      <c r="A142" s="1185" t="s">
        <v>674</v>
      </c>
      <c r="B142" s="1176"/>
      <c r="C142" s="1128" t="s">
        <v>675</v>
      </c>
      <c r="D142" s="1129"/>
      <c r="E142" s="1130"/>
      <c r="F142" s="1190" t="s">
        <v>676</v>
      </c>
      <c r="G142" s="1191"/>
      <c r="H142" s="1191"/>
    </row>
    <row r="143" spans="1:8" s="386" customFormat="1" ht="12.75">
      <c r="A143" s="1187"/>
      <c r="B143" s="1177"/>
      <c r="C143" s="1131"/>
      <c r="D143" s="1132"/>
      <c r="E143" s="1133"/>
      <c r="F143" s="1192"/>
      <c r="G143" s="1193"/>
      <c r="H143" s="1193"/>
    </row>
    <row r="144" spans="1:8" s="386" customFormat="1" ht="12.75">
      <c r="A144" s="1189"/>
      <c r="B144" s="1178"/>
      <c r="C144" s="1134"/>
      <c r="D144" s="1135"/>
      <c r="E144" s="1136"/>
      <c r="F144" s="1194"/>
      <c r="G144" s="1195"/>
      <c r="H144" s="1195"/>
    </row>
    <row r="145" spans="1:8" s="386" customFormat="1" ht="12.75">
      <c r="A145" s="1149" t="s">
        <v>677</v>
      </c>
      <c r="B145" s="1150"/>
      <c r="C145" s="970">
        <f>SUM(C146:E147)</f>
        <v>0</v>
      </c>
      <c r="D145" s="1034"/>
      <c r="E145" s="971"/>
      <c r="F145" s="970">
        <f>SUM(F146:H147)</f>
        <v>0</v>
      </c>
      <c r="G145" s="1034"/>
      <c r="H145" s="1034"/>
    </row>
    <row r="146" spans="1:8" s="386" customFormat="1" ht="12.75">
      <c r="A146" s="1151" t="s">
        <v>678</v>
      </c>
      <c r="B146" s="1152"/>
      <c r="C146" s="804"/>
      <c r="D146" s="1153"/>
      <c r="E146" s="805"/>
      <c r="F146" s="804"/>
      <c r="G146" s="1153"/>
      <c r="H146" s="1153"/>
    </row>
    <row r="147" spans="1:8" s="386" customFormat="1" ht="12.75">
      <c r="A147" s="1200" t="s">
        <v>679</v>
      </c>
      <c r="B147" s="1201"/>
      <c r="C147" s="844"/>
      <c r="D147" s="1117"/>
      <c r="E147" s="845"/>
      <c r="F147" s="844"/>
      <c r="G147" s="1117"/>
      <c r="H147" s="1117"/>
    </row>
    <row r="148" spans="1:8" s="386" customFormat="1" ht="12.75">
      <c r="A148" s="1198" t="s">
        <v>680</v>
      </c>
      <c r="B148" s="1198"/>
      <c r="C148" s="1196" t="s">
        <v>593</v>
      </c>
      <c r="D148" s="1196"/>
      <c r="E148" s="1196"/>
      <c r="F148" s="1196" t="s">
        <v>681</v>
      </c>
      <c r="G148" s="1196"/>
      <c r="H148" s="1128"/>
    </row>
    <row r="149" spans="1:8" s="386" customFormat="1" ht="25.5" customHeight="1">
      <c r="A149" s="1199"/>
      <c r="B149" s="1199"/>
      <c r="C149" s="1197"/>
      <c r="D149" s="1197"/>
      <c r="E149" s="1197"/>
      <c r="F149" s="1197"/>
      <c r="G149" s="1197"/>
      <c r="H149" s="1134"/>
    </row>
    <row r="150" spans="1:8" s="386" customFormat="1" ht="15" customHeight="1">
      <c r="A150" s="1146" t="s">
        <v>682</v>
      </c>
      <c r="B150" s="1146"/>
      <c r="C150" s="1147"/>
      <c r="D150" s="1147"/>
      <c r="E150" s="1147"/>
      <c r="F150" s="1147"/>
      <c r="G150" s="1147"/>
      <c r="H150" s="1148"/>
    </row>
    <row r="151" spans="1:8" s="386" customFormat="1" ht="12.75">
      <c r="A151" s="1154" t="s">
        <v>683</v>
      </c>
      <c r="B151" s="1154"/>
      <c r="C151" s="1155"/>
      <c r="D151" s="1155"/>
      <c r="E151" s="1155"/>
      <c r="F151" s="1155"/>
      <c r="G151" s="1155"/>
      <c r="H151" s="1156"/>
    </row>
    <row r="152" spans="1:9" s="386" customFormat="1" ht="12.75">
      <c r="A152" s="1154" t="s">
        <v>684</v>
      </c>
      <c r="B152" s="1154"/>
      <c r="C152" s="1157">
        <f>+C153+C154</f>
        <v>0</v>
      </c>
      <c r="D152" s="1158"/>
      <c r="E152" s="1158"/>
      <c r="F152" s="1157">
        <f>+F153+F154</f>
        <v>0</v>
      </c>
      <c r="G152" s="1158"/>
      <c r="H152" s="1159"/>
      <c r="I152" s="325"/>
    </row>
    <row r="153" spans="1:8" s="386" customFormat="1" ht="12.75">
      <c r="A153" s="1154" t="s">
        <v>685</v>
      </c>
      <c r="B153" s="1154"/>
      <c r="C153" s="1160"/>
      <c r="D153" s="1160"/>
      <c r="E153" s="1160"/>
      <c r="F153" s="1160"/>
      <c r="G153" s="1160"/>
      <c r="H153" s="1161"/>
    </row>
    <row r="154" spans="1:8" s="386" customFormat="1" ht="12.75">
      <c r="A154" s="1154" t="s">
        <v>686</v>
      </c>
      <c r="B154" s="1154"/>
      <c r="C154" s="1155"/>
      <c r="D154" s="1155"/>
      <c r="E154" s="1155"/>
      <c r="F154" s="1155"/>
      <c r="G154" s="1155"/>
      <c r="H154" s="1156"/>
    </row>
    <row r="155" spans="1:9" s="386" customFormat="1" ht="12.75">
      <c r="A155" s="1162" t="s">
        <v>687</v>
      </c>
      <c r="B155" s="1163"/>
      <c r="C155" s="1164"/>
      <c r="D155" s="1155"/>
      <c r="E155" s="1155"/>
      <c r="F155" s="1155"/>
      <c r="G155" s="1155"/>
      <c r="H155" s="1156"/>
      <c r="I155" s="325"/>
    </row>
    <row r="156" spans="1:9" s="386" customFormat="1" ht="12.75">
      <c r="A156" s="1162" t="s">
        <v>688</v>
      </c>
      <c r="B156" s="1163"/>
      <c r="C156" s="1157">
        <f>+C150+C151-ABS(C152)+C155</f>
        <v>0</v>
      </c>
      <c r="D156" s="1158"/>
      <c r="E156" s="1158"/>
      <c r="F156" s="1157">
        <f>+F150+F151-ABS(F152)+F155</f>
        <v>0</v>
      </c>
      <c r="G156" s="1158"/>
      <c r="H156" s="1159"/>
      <c r="I156" s="325"/>
    </row>
    <row r="157" spans="1:9" s="386" customFormat="1" ht="12.75">
      <c r="A157" s="1162" t="s">
        <v>689</v>
      </c>
      <c r="B157" s="1163"/>
      <c r="C157" s="1157">
        <f>+C158+C159</f>
        <v>0</v>
      </c>
      <c r="D157" s="1158"/>
      <c r="E157" s="1158"/>
      <c r="F157" s="1157">
        <f>+F158+F159</f>
        <v>0</v>
      </c>
      <c r="G157" s="1158"/>
      <c r="H157" s="1159"/>
      <c r="I157" s="325"/>
    </row>
    <row r="158" spans="1:9" s="386" customFormat="1" ht="12.75">
      <c r="A158" s="1162" t="s">
        <v>690</v>
      </c>
      <c r="B158" s="1163"/>
      <c r="C158" s="1164"/>
      <c r="D158" s="1155"/>
      <c r="E158" s="1155"/>
      <c r="F158" s="1155"/>
      <c r="G158" s="1155"/>
      <c r="H158" s="1156"/>
      <c r="I158" s="325"/>
    </row>
    <row r="159" spans="1:9" s="386" customFormat="1" ht="12.75">
      <c r="A159" s="1162" t="s">
        <v>691</v>
      </c>
      <c r="B159" s="1163"/>
      <c r="C159" s="1164"/>
      <c r="D159" s="1155"/>
      <c r="E159" s="1155"/>
      <c r="F159" s="1155"/>
      <c r="G159" s="1155"/>
      <c r="H159" s="1156"/>
      <c r="I159" s="325"/>
    </row>
    <row r="160" spans="1:9" s="386" customFormat="1" ht="12.75">
      <c r="A160" s="1165" t="s">
        <v>692</v>
      </c>
      <c r="B160" s="1166"/>
      <c r="C160" s="1167">
        <f>+C156+C157</f>
        <v>0</v>
      </c>
      <c r="D160" s="1168"/>
      <c r="E160" s="1168"/>
      <c r="F160" s="1167">
        <f>+F156+F157</f>
        <v>0</v>
      </c>
      <c r="G160" s="1168"/>
      <c r="H160" s="1169"/>
      <c r="I160" s="325"/>
    </row>
    <row r="161" spans="1:8" s="386" customFormat="1" ht="12.75">
      <c r="A161" s="1170" t="s">
        <v>544</v>
      </c>
      <c r="B161" s="1170"/>
      <c r="C161" s="1171"/>
      <c r="D161" s="1171"/>
      <c r="E161" s="1171"/>
      <c r="F161" s="1171"/>
      <c r="G161" s="1171"/>
      <c r="H161" s="1171"/>
    </row>
    <row r="162" spans="1:8" s="386" customFormat="1" ht="12.75" customHeight="1">
      <c r="A162" s="1172" t="s">
        <v>693</v>
      </c>
      <c r="B162" s="1172"/>
      <c r="C162" s="1172"/>
      <c r="D162" s="1172"/>
      <c r="E162" s="1172"/>
      <c r="F162" s="1172"/>
      <c r="G162" s="1172"/>
      <c r="H162" s="1172"/>
    </row>
    <row r="163" spans="1:8" s="386" customFormat="1" ht="24.75" customHeight="1">
      <c r="A163" s="1173" t="s">
        <v>694</v>
      </c>
      <c r="B163" s="1173"/>
      <c r="C163" s="1173"/>
      <c r="D163" s="1173"/>
      <c r="E163" s="1173"/>
      <c r="F163" s="1173"/>
      <c r="G163" s="1173"/>
      <c r="H163" s="1173"/>
    </row>
    <row r="164" spans="1:8" s="386" customFormat="1" ht="12.75" customHeight="1">
      <c r="A164" s="1174" t="s">
        <v>695</v>
      </c>
      <c r="B164" s="1174"/>
      <c r="C164" s="1174"/>
      <c r="D164" s="1174"/>
      <c r="E164" s="1174"/>
      <c r="F164" s="1174"/>
      <c r="G164" s="1174"/>
      <c r="H164" s="1174"/>
    </row>
    <row r="165" spans="1:8" s="386" customFormat="1" ht="12.75" customHeight="1">
      <c r="A165" s="1173" t="s">
        <v>696</v>
      </c>
      <c r="B165" s="1173"/>
      <c r="C165" s="1173"/>
      <c r="D165" s="1173"/>
      <c r="E165" s="1173"/>
      <c r="F165" s="1173"/>
      <c r="G165" s="1173"/>
      <c r="H165" s="1173"/>
    </row>
    <row r="166" spans="1:8" s="386" customFormat="1" ht="12.75" customHeight="1">
      <c r="A166" s="1174" t="s">
        <v>697</v>
      </c>
      <c r="B166" s="1174"/>
      <c r="C166" s="1174"/>
      <c r="D166" s="1174"/>
      <c r="E166" s="1174"/>
      <c r="F166" s="1174"/>
      <c r="G166" s="1174"/>
      <c r="H166" s="1174"/>
    </row>
    <row r="167" spans="1:8" ht="15" customHeight="1">
      <c r="A167" s="1175" t="s">
        <v>698</v>
      </c>
      <c r="B167" s="1175"/>
      <c r="C167" s="1175"/>
      <c r="D167" s="1175"/>
      <c r="E167" s="1175"/>
      <c r="F167" s="1175"/>
      <c r="G167" s="1175"/>
      <c r="H167" s="1175"/>
    </row>
    <row r="168" spans="1:8" ht="16.5" customHeight="1">
      <c r="A168" s="1175" t="s">
        <v>699</v>
      </c>
      <c r="B168" s="1175"/>
      <c r="C168" s="1175"/>
      <c r="D168" s="1175"/>
      <c r="E168" s="1175"/>
      <c r="F168" s="1175"/>
      <c r="G168" s="1175"/>
      <c r="H168" s="1175"/>
    </row>
  </sheetData>
  <sheetProtection password="C236" sheet="1" objects="1" formatColumns="0" selectLockedCells="1"/>
  <mergeCells count="307">
    <mergeCell ref="F142:H144"/>
    <mergeCell ref="A119:F121"/>
    <mergeCell ref="A142:B144"/>
    <mergeCell ref="C148:E149"/>
    <mergeCell ref="F148:H149"/>
    <mergeCell ref="A148:B149"/>
    <mergeCell ref="A147:B147"/>
    <mergeCell ref="C147:E147"/>
    <mergeCell ref="F147:H147"/>
    <mergeCell ref="F146:H146"/>
    <mergeCell ref="H72:H73"/>
    <mergeCell ref="H74:H75"/>
    <mergeCell ref="H101:H102"/>
    <mergeCell ref="H133:H134"/>
    <mergeCell ref="B11:C13"/>
    <mergeCell ref="D11:E12"/>
    <mergeCell ref="D39:E40"/>
    <mergeCell ref="B39:C41"/>
    <mergeCell ref="B57:C59"/>
    <mergeCell ref="G119:H121"/>
    <mergeCell ref="A167:H167"/>
    <mergeCell ref="A168:H168"/>
    <mergeCell ref="A74:A76"/>
    <mergeCell ref="A101:A103"/>
    <mergeCell ref="A133:A135"/>
    <mergeCell ref="B74:B76"/>
    <mergeCell ref="B101:B103"/>
    <mergeCell ref="B133:B135"/>
    <mergeCell ref="C74:C75"/>
    <mergeCell ref="C101:C102"/>
    <mergeCell ref="A161:H161"/>
    <mergeCell ref="A162:H162"/>
    <mergeCell ref="A163:H163"/>
    <mergeCell ref="A164:H164"/>
    <mergeCell ref="A165:H165"/>
    <mergeCell ref="A166:H166"/>
    <mergeCell ref="A159:B159"/>
    <mergeCell ref="C159:E159"/>
    <mergeCell ref="F159:H159"/>
    <mergeCell ref="A160:B160"/>
    <mergeCell ref="C160:E160"/>
    <mergeCell ref="F160:H160"/>
    <mergeCell ref="A157:B157"/>
    <mergeCell ref="C157:E157"/>
    <mergeCell ref="F157:H157"/>
    <mergeCell ref="A158:B158"/>
    <mergeCell ref="C158:E158"/>
    <mergeCell ref="F158:H158"/>
    <mergeCell ref="A155:B155"/>
    <mergeCell ref="C155:E155"/>
    <mergeCell ref="F155:H155"/>
    <mergeCell ref="A156:B156"/>
    <mergeCell ref="C156:E156"/>
    <mergeCell ref="F156:H156"/>
    <mergeCell ref="A153:B153"/>
    <mergeCell ref="C153:E153"/>
    <mergeCell ref="F153:H153"/>
    <mergeCell ref="A154:B154"/>
    <mergeCell ref="C154:E154"/>
    <mergeCell ref="F154:H154"/>
    <mergeCell ref="A146:B146"/>
    <mergeCell ref="C146:E146"/>
    <mergeCell ref="A151:B151"/>
    <mergeCell ref="C151:E151"/>
    <mergeCell ref="F151:H151"/>
    <mergeCell ref="A152:B152"/>
    <mergeCell ref="C152:E152"/>
    <mergeCell ref="F152:H152"/>
    <mergeCell ref="G131:H131"/>
    <mergeCell ref="A132:H132"/>
    <mergeCell ref="A150:B150"/>
    <mergeCell ref="C150:E150"/>
    <mergeCell ref="F150:H150"/>
    <mergeCell ref="D133:E133"/>
    <mergeCell ref="F133:G133"/>
    <mergeCell ref="A145:B145"/>
    <mergeCell ref="C145:E145"/>
    <mergeCell ref="F145:H145"/>
    <mergeCell ref="A127:D127"/>
    <mergeCell ref="G127:H127"/>
    <mergeCell ref="A128:F128"/>
    <mergeCell ref="G128:H128"/>
    <mergeCell ref="C133:C134"/>
    <mergeCell ref="C142:E144"/>
    <mergeCell ref="A129:F129"/>
    <mergeCell ref="G129:H129"/>
    <mergeCell ref="G130:H130"/>
    <mergeCell ref="A131:F131"/>
    <mergeCell ref="G123:H123"/>
    <mergeCell ref="A124:C124"/>
    <mergeCell ref="G124:H124"/>
    <mergeCell ref="A125:C125"/>
    <mergeCell ref="G125:H125"/>
    <mergeCell ref="A126:C126"/>
    <mergeCell ref="G126:H126"/>
    <mergeCell ref="A99:F99"/>
    <mergeCell ref="G99:H99"/>
    <mergeCell ref="A100:H100"/>
    <mergeCell ref="D101:E101"/>
    <mergeCell ref="F101:G101"/>
    <mergeCell ref="G122:H122"/>
    <mergeCell ref="A96:F96"/>
    <mergeCell ref="G96:H96"/>
    <mergeCell ref="A97:F97"/>
    <mergeCell ref="G97:H97"/>
    <mergeCell ref="A98:F98"/>
    <mergeCell ref="G98:H98"/>
    <mergeCell ref="G91:H91"/>
    <mergeCell ref="A92:F92"/>
    <mergeCell ref="G92:H92"/>
    <mergeCell ref="G93:H93"/>
    <mergeCell ref="G94:H94"/>
    <mergeCell ref="G95:H95"/>
    <mergeCell ref="G86:H86"/>
    <mergeCell ref="G87:H87"/>
    <mergeCell ref="A88:D88"/>
    <mergeCell ref="G88:H88"/>
    <mergeCell ref="G89:H89"/>
    <mergeCell ref="G90:H90"/>
    <mergeCell ref="D74:E74"/>
    <mergeCell ref="F74:G74"/>
    <mergeCell ref="A84:F84"/>
    <mergeCell ref="G84:H84"/>
    <mergeCell ref="A85:C85"/>
    <mergeCell ref="G85:H85"/>
    <mergeCell ref="B71:C71"/>
    <mergeCell ref="D71:E71"/>
    <mergeCell ref="F71:G71"/>
    <mergeCell ref="A72:E72"/>
    <mergeCell ref="F72:G72"/>
    <mergeCell ref="A73:E73"/>
    <mergeCell ref="F73:G73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D58:E58"/>
    <mergeCell ref="F58:G58"/>
    <mergeCell ref="D59:E59"/>
    <mergeCell ref="F59:G59"/>
    <mergeCell ref="B60:C60"/>
    <mergeCell ref="D60:E60"/>
    <mergeCell ref="F60:G60"/>
    <mergeCell ref="B55:C55"/>
    <mergeCell ref="D55:E55"/>
    <mergeCell ref="F55:G55"/>
    <mergeCell ref="A56:H56"/>
    <mergeCell ref="D57:E57"/>
    <mergeCell ref="F57:H57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F39:H39"/>
    <mergeCell ref="F40:G40"/>
    <mergeCell ref="D41:E41"/>
    <mergeCell ref="F41:G41"/>
    <mergeCell ref="B42:C42"/>
    <mergeCell ref="D42:E42"/>
    <mergeCell ref="F42:G42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F11:H11"/>
    <mergeCell ref="F12:G12"/>
    <mergeCell ref="D13:E13"/>
    <mergeCell ref="F13:G13"/>
    <mergeCell ref="B14:C14"/>
    <mergeCell ref="D14:E14"/>
    <mergeCell ref="F14:G14"/>
    <mergeCell ref="A1:F1"/>
    <mergeCell ref="A3:F3"/>
    <mergeCell ref="A4:F4"/>
    <mergeCell ref="A5:F5"/>
    <mergeCell ref="A6:F6"/>
    <mergeCell ref="IP6:IV6"/>
    <mergeCell ref="II6:IN12"/>
    <mergeCell ref="A7:H7"/>
    <mergeCell ref="A8:H8"/>
    <mergeCell ref="A10:H10"/>
  </mergeCells>
  <conditionalFormatting sqref="A8">
    <cfRule type="cellIs" priority="2" dxfId="5" operator="lessThan" stopIfTrue="1">
      <formula>0.25</formula>
    </cfRule>
    <cfRule type="expression" priority="3" dxfId="0" stopIfTrue="1">
      <formula>$D$118&lt;($F$118+$H$118)</formula>
    </cfRule>
  </conditionalFormatting>
  <conditionalFormatting sqref="G131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H131">
    <cfRule type="expression" priority="1" dxfId="0" stopIfTrue="1">
      <formula>A14=1</formula>
    </cfRule>
    <cfRule type="cellIs" priority="4" dxfId="5" operator="lessThan" stopIfTrue="1">
      <formula>0.25</formula>
    </cfRule>
  </conditionalFormatting>
  <conditionalFormatting sqref="G131 F101 D101 A101">
    <cfRule type="expression" priority="5" dxfId="0" stopIfTrue="1">
      <formula>$IV$118=0</formula>
    </cfRule>
  </conditionalFormatting>
  <dataValidations count="1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" right="0.2" top="0.59" bottom="0.2" header="0.12" footer="0.12"/>
  <pageSetup horizontalDpi="600" verticalDpi="600" orientation="landscape" paperSize="9" scale="75"/>
  <rowBreaks count="3" manualBreakCount="3">
    <brk id="38" max="255" man="1"/>
    <brk id="9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Usuário</cp:lastModifiedBy>
  <cp:lastPrinted>2016-02-24T12:01:41Z</cp:lastPrinted>
  <dcterms:created xsi:type="dcterms:W3CDTF">2004-08-09T19:29:24Z</dcterms:created>
  <dcterms:modified xsi:type="dcterms:W3CDTF">2017-05-29T12:08:58Z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